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garcia\Documents\Silvia Garcia\Desktop\2\SEGUIMIENTO\EDITABLES INFORMACION PUBLICA JUNIO-DIC 2025\"/>
    </mc:Choice>
  </mc:AlternateContent>
  <bookViews>
    <workbookView xWindow="-120" yWindow="0" windowWidth="2280" windowHeight="0"/>
  </bookViews>
  <sheets>
    <sheet name="EJECUCION" sheetId="1" r:id="rId1"/>
  </sheets>
  <definedNames>
    <definedName name="_xlnm.Print_Area" localSheetId="0">EJECUCION!$B$1:$AC$365</definedName>
    <definedName name="_xlnm.Print_Titles" localSheetId="0">EJECUCION!$1:$1</definedName>
  </definedNames>
  <calcPr calcId="162913"/>
</workbook>
</file>

<file path=xl/calcChain.xml><?xml version="1.0" encoding="utf-8"?>
<calcChain xmlns="http://schemas.openxmlformats.org/spreadsheetml/2006/main">
  <c r="T209" i="1" l="1"/>
  <c r="S179" i="1"/>
  <c r="T134" i="1" l="1"/>
  <c r="Z134" i="1" s="1"/>
  <c r="AA134" i="1" s="1"/>
  <c r="T135" i="1"/>
  <c r="T136" i="1"/>
  <c r="T137" i="1"/>
  <c r="T138" i="1"/>
  <c r="T139" i="1"/>
  <c r="T140" i="1"/>
  <c r="T141" i="1"/>
  <c r="T130" i="1"/>
  <c r="S291" i="1" l="1"/>
  <c r="AA314" i="1"/>
  <c r="AA316" i="1"/>
  <c r="AA315" i="1"/>
  <c r="T315" i="1"/>
  <c r="AB359" i="1"/>
  <c r="AB331" i="1"/>
  <c r="AB291" i="1"/>
  <c r="T264" i="1" l="1"/>
  <c r="S253" i="1"/>
  <c r="AB234" i="1"/>
  <c r="AB33" i="1"/>
  <c r="R179" i="1" l="1"/>
  <c r="Y22" i="1"/>
  <c r="Y21" i="1"/>
  <c r="Y20" i="1"/>
  <c r="Y19" i="1"/>
  <c r="Y18" i="1"/>
  <c r="Y17" i="1"/>
  <c r="Y16" i="1"/>
  <c r="Y15" i="1"/>
  <c r="Y14" i="1"/>
  <c r="Y13" i="1"/>
  <c r="S12" i="1"/>
  <c r="S353" i="1" l="1"/>
  <c r="S332" i="1"/>
  <c r="S331" i="1" s="1"/>
  <c r="S262" i="1"/>
  <c r="S235" i="1"/>
  <c r="S66" i="1"/>
  <c r="S52" i="1"/>
  <c r="S123" i="1" l="1"/>
  <c r="AA347" i="1" l="1"/>
  <c r="T355" i="1" l="1"/>
  <c r="T354" i="1"/>
  <c r="T350" i="1"/>
  <c r="T349" i="1"/>
  <c r="T348" i="1"/>
  <c r="T347" i="1"/>
  <c r="T346" i="1"/>
  <c r="T345" i="1"/>
  <c r="T344" i="1"/>
  <c r="T343" i="1"/>
  <c r="T342" i="1"/>
  <c r="T341" i="1"/>
  <c r="T340" i="1"/>
  <c r="T339" i="1"/>
  <c r="T338" i="1"/>
  <c r="T337" i="1"/>
  <c r="T336" i="1"/>
  <c r="T335" i="1"/>
  <c r="T334" i="1"/>
  <c r="T333" i="1"/>
  <c r="T320" i="1"/>
  <c r="T319" i="1"/>
  <c r="T316" i="1"/>
  <c r="T312" i="1"/>
  <c r="T311" i="1"/>
  <c r="T310" i="1"/>
  <c r="T309" i="1"/>
  <c r="T308" i="1"/>
  <c r="T307" i="1"/>
  <c r="Z300" i="1"/>
  <c r="T301" i="1"/>
  <c r="Z301" i="1" s="1"/>
  <c r="T299" i="1"/>
  <c r="T298" i="1"/>
  <c r="T297" i="1"/>
  <c r="T296" i="1"/>
  <c r="T295" i="1"/>
  <c r="T294" i="1"/>
  <c r="T293" i="1"/>
  <c r="T279" i="1"/>
  <c r="T278" i="1"/>
  <c r="T277" i="1"/>
  <c r="T276" i="1"/>
  <c r="T275" i="1"/>
  <c r="T269" i="1"/>
  <c r="T268" i="1"/>
  <c r="T267" i="1"/>
  <c r="T266" i="1"/>
  <c r="T265" i="1"/>
  <c r="T263" i="1"/>
  <c r="T256" i="1"/>
  <c r="T255" i="1"/>
  <c r="T254" i="1"/>
  <c r="T251" i="1"/>
  <c r="T250" i="1"/>
  <c r="T249" i="1"/>
  <c r="T248" i="1"/>
  <c r="T247" i="1"/>
  <c r="T246" i="1"/>
  <c r="T242" i="1"/>
  <c r="T241" i="1"/>
  <c r="T238" i="1"/>
  <c r="T237" i="1"/>
  <c r="T224" i="1"/>
  <c r="T223" i="1"/>
  <c r="T220" i="1"/>
  <c r="T217" i="1"/>
  <c r="T216" i="1"/>
  <c r="T215" i="1"/>
  <c r="T212" i="1"/>
  <c r="T211" i="1"/>
  <c r="T192" i="1"/>
  <c r="T189" i="1"/>
  <c r="T187" i="1"/>
  <c r="T186" i="1"/>
  <c r="T185" i="1"/>
  <c r="T184" i="1"/>
  <c r="T183" i="1"/>
  <c r="T182" i="1"/>
  <c r="T181" i="1"/>
  <c r="T164" i="1"/>
  <c r="T163" i="1"/>
  <c r="T162" i="1"/>
  <c r="T161" i="1"/>
  <c r="T160" i="1"/>
  <c r="T159" i="1"/>
  <c r="T158" i="1"/>
  <c r="T157" i="1"/>
  <c r="T156" i="1"/>
  <c r="T155" i="1"/>
  <c r="T154" i="1"/>
  <c r="T153" i="1"/>
  <c r="T152" i="1"/>
  <c r="T151" i="1"/>
  <c r="T150" i="1"/>
  <c r="T143" i="1"/>
  <c r="T142" i="1"/>
  <c r="Z141" i="1"/>
  <c r="T133" i="1"/>
  <c r="T132" i="1"/>
  <c r="T131" i="1"/>
  <c r="T111" i="1"/>
  <c r="T110" i="1"/>
  <c r="T109" i="1"/>
  <c r="T108" i="1"/>
  <c r="T107" i="1"/>
  <c r="T106" i="1"/>
  <c r="T105" i="1"/>
  <c r="T99" i="1"/>
  <c r="T98" i="1"/>
  <c r="T97" i="1"/>
  <c r="T96" i="1"/>
  <c r="T95" i="1"/>
  <c r="T94" i="1"/>
  <c r="T93" i="1"/>
  <c r="T86" i="1"/>
  <c r="T85" i="1"/>
  <c r="T84" i="1"/>
  <c r="T83" i="1"/>
  <c r="T82" i="1"/>
  <c r="T81" i="1"/>
  <c r="T80" i="1"/>
  <c r="T79" i="1"/>
  <c r="T78" i="1"/>
  <c r="T77" i="1"/>
  <c r="T76" i="1"/>
  <c r="T75" i="1"/>
  <c r="T74" i="1"/>
  <c r="T73" i="1"/>
  <c r="T71" i="1"/>
  <c r="T70" i="1"/>
  <c r="T69" i="1"/>
  <c r="T68" i="1"/>
  <c r="T67" i="1"/>
  <c r="T60" i="1"/>
  <c r="T59" i="1"/>
  <c r="T58" i="1"/>
  <c r="T57" i="1"/>
  <c r="T56" i="1"/>
  <c r="T55" i="1"/>
  <c r="T54" i="1"/>
  <c r="T53" i="1"/>
  <c r="T46" i="1"/>
  <c r="T45" i="1"/>
  <c r="T44" i="1"/>
  <c r="T43" i="1"/>
  <c r="T42" i="1"/>
  <c r="T39" i="1"/>
  <c r="T38" i="1"/>
  <c r="T37" i="1"/>
  <c r="T36" i="1"/>
  <c r="AA36" i="1" s="1"/>
  <c r="T35" i="1"/>
  <c r="T22" i="1"/>
  <c r="T21" i="1"/>
  <c r="T18" i="1"/>
  <c r="T17" i="1"/>
  <c r="T16" i="1"/>
  <c r="T15" i="1"/>
  <c r="R353" i="1"/>
  <c r="R332" i="1"/>
  <c r="R318" i="1"/>
  <c r="R314" i="1"/>
  <c r="R262" i="1"/>
  <c r="Y254" i="1"/>
  <c r="R253" i="1"/>
  <c r="R245" i="1"/>
  <c r="T245" i="1" s="1"/>
  <c r="R240" i="1"/>
  <c r="T240" i="1" s="1"/>
  <c r="R236" i="1"/>
  <c r="R235" i="1" s="1"/>
  <c r="R149" i="1"/>
  <c r="AA111" i="1"/>
  <c r="R52" i="1"/>
  <c r="R34" i="1"/>
  <c r="AB12" i="1"/>
  <c r="AB364" i="1" s="1"/>
  <c r="R12" i="1"/>
  <c r="R291" i="1" l="1"/>
  <c r="T314" i="1"/>
  <c r="X314" i="1" s="1"/>
  <c r="Y314" i="1" s="1"/>
  <c r="Z254" i="1"/>
  <c r="T149" i="1"/>
  <c r="R331" i="1"/>
  <c r="T236" i="1"/>
  <c r="Y320" i="1" l="1"/>
  <c r="Z320" i="1" s="1"/>
  <c r="Y315" i="1" l="1"/>
  <c r="Y311" i="1"/>
  <c r="Z311" i="1"/>
  <c r="Y309" i="1"/>
  <c r="Z309" i="1"/>
  <c r="Y247" i="1"/>
  <c r="Z247" i="1" s="1"/>
  <c r="Z193" i="1"/>
  <c r="Z190" i="1"/>
  <c r="Z187" i="1"/>
  <c r="Z186" i="1"/>
  <c r="T180" i="1"/>
  <c r="Z180" i="1" s="1"/>
  <c r="Z164" i="1"/>
  <c r="Z163" i="1"/>
  <c r="Z153" i="1"/>
  <c r="Z152" i="1"/>
  <c r="Z142" i="1"/>
  <c r="Z139" i="1"/>
  <c r="Z138" i="1"/>
  <c r="Z137" i="1"/>
  <c r="Z136" i="1"/>
  <c r="Z135" i="1"/>
  <c r="Z133" i="1"/>
  <c r="Z132" i="1"/>
  <c r="Y44" i="1"/>
  <c r="Z43" i="1"/>
  <c r="AA43" i="1" s="1"/>
  <c r="Q353" i="1"/>
  <c r="Q332" i="1"/>
  <c r="T332" i="1" s="1"/>
  <c r="Q262" i="1"/>
  <c r="Q253" i="1"/>
  <c r="T253" i="1" s="1"/>
  <c r="Q235" i="1"/>
  <c r="Q179" i="1"/>
  <c r="Q149" i="1"/>
  <c r="Q123" i="1"/>
  <c r="Q66" i="1"/>
  <c r="Q52" i="1"/>
  <c r="Q34" i="1"/>
  <c r="Q12" i="1"/>
  <c r="Q331" i="1" l="1"/>
  <c r="Q122" i="1"/>
  <c r="AA254" i="1"/>
  <c r="AA217" i="1" l="1"/>
  <c r="Z344" i="1" l="1"/>
  <c r="Q291" i="1"/>
  <c r="Y253" i="1"/>
  <c r="Y255" i="1"/>
  <c r="Y256" i="1"/>
  <c r="Y251" i="1"/>
  <c r="Y250" i="1"/>
  <c r="Y249" i="1"/>
  <c r="Z140" i="1"/>
  <c r="T123" i="1"/>
  <c r="Z220" i="1"/>
  <c r="AA212" i="1"/>
  <c r="P353" i="1"/>
  <c r="P318" i="1"/>
  <c r="T318" i="1" s="1"/>
  <c r="P262" i="1"/>
  <c r="T262" i="1" s="1"/>
  <c r="AA190" i="1"/>
  <c r="AA193" i="1"/>
  <c r="P179" i="1"/>
  <c r="T179" i="1" s="1"/>
  <c r="P149" i="1"/>
  <c r="P52" i="1"/>
  <c r="T52" i="1" s="1"/>
  <c r="P34" i="1"/>
  <c r="P12" i="1"/>
  <c r="P291" i="1" l="1"/>
  <c r="P331" i="1"/>
  <c r="T353" i="1"/>
  <c r="Z250" i="1"/>
  <c r="Z251" i="1"/>
  <c r="Z249" i="1"/>
  <c r="Y355" i="1" l="1"/>
  <c r="Y354" i="1"/>
  <c r="Y353" i="1"/>
  <c r="AA335" i="1"/>
  <c r="Y332" i="1"/>
  <c r="T331" i="1"/>
  <c r="AA110" i="1" l="1"/>
  <c r="N332" i="1"/>
  <c r="N307" i="1"/>
  <c r="AD52" i="1"/>
  <c r="AD53" i="1"/>
  <c r="N52" i="1"/>
  <c r="N353" i="1" l="1"/>
  <c r="N331" i="1"/>
  <c r="N318" i="1"/>
  <c r="N291" i="1" s="1"/>
  <c r="N262" i="1"/>
  <c r="N235" i="1"/>
  <c r="N234" i="1" s="1"/>
  <c r="N179" i="1"/>
  <c r="N123" i="1"/>
  <c r="N66" i="1"/>
  <c r="O41" i="1"/>
  <c r="Z41" i="1" s="1"/>
  <c r="N34" i="1"/>
  <c r="N33" i="1" s="1"/>
  <c r="Z22" i="1"/>
  <c r="Z21" i="1"/>
  <c r="AA218" i="1" l="1"/>
  <c r="AA21" i="1" l="1"/>
  <c r="AA22" i="1"/>
  <c r="AA247" i="1" l="1"/>
  <c r="AA224" i="1"/>
  <c r="AA164" i="1"/>
  <c r="AA138" i="1"/>
  <c r="AA137" i="1"/>
  <c r="AA135" i="1"/>
  <c r="AA109" i="1"/>
  <c r="AA108" i="1"/>
  <c r="AA107" i="1"/>
  <c r="AA106" i="1"/>
  <c r="AA105" i="1"/>
  <c r="O70" i="1"/>
  <c r="O69" i="1"/>
  <c r="O68" i="1"/>
  <c r="AA41" i="1"/>
  <c r="O18" i="1"/>
  <c r="O17" i="1"/>
  <c r="M353" i="1"/>
  <c r="M332" i="1"/>
  <c r="M318" i="1"/>
  <c r="M291" i="1" s="1"/>
  <c r="M262" i="1"/>
  <c r="M235" i="1"/>
  <c r="M179" i="1"/>
  <c r="M149" i="1"/>
  <c r="M123" i="1"/>
  <c r="M67" i="1"/>
  <c r="M66" i="1" s="1"/>
  <c r="M52" i="1"/>
  <c r="M34" i="1"/>
  <c r="M12" i="1"/>
  <c r="Z18" i="1" l="1"/>
  <c r="AA18" i="1" s="1"/>
  <c r="Z17" i="1"/>
  <c r="AA17" i="1" s="1"/>
  <c r="O67" i="1"/>
  <c r="AA301" i="1"/>
  <c r="AA220" i="1"/>
  <c r="AA223" i="1"/>
  <c r="AA216" i="1"/>
  <c r="AA344" i="1" l="1"/>
  <c r="AA320" i="1"/>
  <c r="AA311" i="1"/>
  <c r="AA309" i="1"/>
  <c r="AA300" i="1"/>
  <c r="I267" i="1"/>
  <c r="AA251" i="1"/>
  <c r="AA250" i="1"/>
  <c r="AA249" i="1"/>
  <c r="AA180" i="1"/>
  <c r="AA140" i="1"/>
  <c r="AA141" i="1"/>
  <c r="AA142" i="1"/>
  <c r="AA46" i="1"/>
  <c r="AA45" i="1" l="1"/>
  <c r="I12" i="1"/>
  <c r="I291" i="1"/>
  <c r="I331" i="1"/>
  <c r="M331" i="1"/>
  <c r="N149" i="1"/>
  <c r="N122" i="1" s="1"/>
  <c r="M122" i="1"/>
  <c r="AA215" i="1"/>
  <c r="AA211" i="1"/>
  <c r="AA210" i="1"/>
  <c r="AA163" i="1"/>
  <c r="O162" i="1"/>
  <c r="Z162" i="1" s="1"/>
  <c r="O161" i="1"/>
  <c r="Z161" i="1" s="1"/>
  <c r="O160" i="1"/>
  <c r="AA152" i="1"/>
  <c r="AA143" i="1"/>
  <c r="AA136" i="1"/>
  <c r="AA133" i="1"/>
  <c r="AA132" i="1"/>
  <c r="Y86" i="1"/>
  <c r="O86" i="1"/>
  <c r="Y85" i="1"/>
  <c r="O85" i="1"/>
  <c r="Y84" i="1"/>
  <c r="O84" i="1"/>
  <c r="Y83" i="1"/>
  <c r="O83" i="1"/>
  <c r="Y82" i="1"/>
  <c r="O82" i="1"/>
  <c r="Y81" i="1"/>
  <c r="O81" i="1"/>
  <c r="Y80" i="1"/>
  <c r="O80" i="1"/>
  <c r="Y79" i="1"/>
  <c r="O79" i="1"/>
  <c r="Y78" i="1"/>
  <c r="O78" i="1"/>
  <c r="Y77" i="1"/>
  <c r="O77" i="1"/>
  <c r="Y76" i="1"/>
  <c r="O76" i="1"/>
  <c r="Y75" i="1"/>
  <c r="O75" i="1"/>
  <c r="Y74" i="1"/>
  <c r="O74" i="1"/>
  <c r="Y73" i="1"/>
  <c r="O73" i="1"/>
  <c r="Y72" i="1"/>
  <c r="O72" i="1"/>
  <c r="O71" i="1"/>
  <c r="Y60" i="1"/>
  <c r="O60" i="1"/>
  <c r="Y59" i="1"/>
  <c r="O59" i="1"/>
  <c r="Y58" i="1"/>
  <c r="O58" i="1"/>
  <c r="Y57" i="1"/>
  <c r="O57" i="1"/>
  <c r="Y56" i="1"/>
  <c r="O56" i="1"/>
  <c r="Y55" i="1"/>
  <c r="O55" i="1"/>
  <c r="Y54" i="1"/>
  <c r="O54" i="1"/>
  <c r="O53" i="1"/>
  <c r="Z160" i="1" l="1"/>
  <c r="AA160" i="1" s="1"/>
  <c r="AA58" i="1"/>
  <c r="AA139" i="1"/>
  <c r="Z54" i="1"/>
  <c r="AA54" i="1" s="1"/>
  <c r="AA59" i="1"/>
  <c r="Z60" i="1"/>
  <c r="AA60" i="1" s="1"/>
  <c r="Z56" i="1"/>
  <c r="AA56" i="1" s="1"/>
  <c r="AA162" i="1"/>
  <c r="Z77" i="1"/>
  <c r="AA77" i="1" s="1"/>
  <c r="Z73" i="1"/>
  <c r="AA73" i="1" s="1"/>
  <c r="Z80" i="1"/>
  <c r="AA80" i="1" s="1"/>
  <c r="Z55" i="1"/>
  <c r="AA55" i="1" s="1"/>
  <c r="AA161" i="1"/>
  <c r="Z82" i="1"/>
  <c r="AA82" i="1" s="1"/>
  <c r="Z72" i="1"/>
  <c r="AA72" i="1" s="1"/>
  <c r="Z85" i="1"/>
  <c r="AA85" i="1" s="1"/>
  <c r="Z75" i="1"/>
  <c r="AA75" i="1" s="1"/>
  <c r="Z81" i="1"/>
  <c r="AA81" i="1" s="1"/>
  <c r="Z57" i="1"/>
  <c r="AA57" i="1" s="1"/>
  <c r="Z78" i="1"/>
  <c r="AA78" i="1" s="1"/>
  <c r="Z83" i="1"/>
  <c r="AA83" i="1" s="1"/>
  <c r="Z86" i="1"/>
  <c r="AA86" i="1" s="1"/>
  <c r="Z79" i="1"/>
  <c r="AA79" i="1" s="1"/>
  <c r="Z84" i="1"/>
  <c r="AA84" i="1" s="1"/>
  <c r="Z76" i="1"/>
  <c r="AA76" i="1" s="1"/>
  <c r="Z74" i="1"/>
  <c r="AA74" i="1" s="1"/>
  <c r="Y319" i="1"/>
  <c r="Z319" i="1"/>
  <c r="Y318" i="1"/>
  <c r="Y307" i="1"/>
  <c r="O299" i="1"/>
  <c r="AA299" i="1" s="1"/>
  <c r="Y310" i="1"/>
  <c r="O310" i="1"/>
  <c r="Y312" i="1"/>
  <c r="Y308" i="1"/>
  <c r="O308" i="1"/>
  <c r="L307" i="1"/>
  <c r="O307" i="1" s="1"/>
  <c r="L292" i="1"/>
  <c r="L291" i="1" s="1"/>
  <c r="Z307" i="1" l="1"/>
  <c r="AA307" i="1" s="1"/>
  <c r="Z308" i="1"/>
  <c r="Z312" i="1"/>
  <c r="AA312" i="1" s="1"/>
  <c r="Z318" i="1"/>
  <c r="AA318" i="1" s="1"/>
  <c r="Z310" i="1"/>
  <c r="AA310" i="1" s="1"/>
  <c r="AA308" i="1"/>
  <c r="AA319" i="1"/>
  <c r="L332" i="1"/>
  <c r="L353" i="1"/>
  <c r="L262" i="1"/>
  <c r="O256" i="1"/>
  <c r="O255" i="1"/>
  <c r="O253" i="1"/>
  <c r="Z253" i="1" s="1"/>
  <c r="AA253" i="1" s="1"/>
  <c r="L235" i="1"/>
  <c r="K235" i="1"/>
  <c r="T235" i="1"/>
  <c r="Y235" i="1"/>
  <c r="O236" i="1"/>
  <c r="Y236" i="1"/>
  <c r="O237" i="1"/>
  <c r="Y237" i="1"/>
  <c r="O238" i="1"/>
  <c r="Y238" i="1"/>
  <c r="L209" i="1"/>
  <c r="L179" i="1"/>
  <c r="L149" i="1"/>
  <c r="L123" i="1"/>
  <c r="L122" i="1" s="1"/>
  <c r="L66" i="1"/>
  <c r="L52" i="1"/>
  <c r="L34" i="1"/>
  <c r="Z255" i="1" l="1"/>
  <c r="AA255" i="1" s="1"/>
  <c r="Z256" i="1"/>
  <c r="AA256" i="1" s="1"/>
  <c r="O235" i="1"/>
  <c r="Z235" i="1"/>
  <c r="AA235" i="1" s="1"/>
  <c r="Z237" i="1"/>
  <c r="AA237" i="1" s="1"/>
  <c r="L331" i="1"/>
  <c r="Z238" i="1"/>
  <c r="AA238" i="1" s="1"/>
  <c r="L234" i="1"/>
  <c r="Z236" i="1"/>
  <c r="AA236" i="1" s="1"/>
  <c r="O355" i="1" l="1"/>
  <c r="Z355" i="1" s="1"/>
  <c r="AA355" i="1" s="1"/>
  <c r="O354" i="1"/>
  <c r="Z354" i="1" s="1"/>
  <c r="AA354" i="1" s="1"/>
  <c r="K353" i="1"/>
  <c r="O353" i="1" s="1"/>
  <c r="Z353" i="1" s="1"/>
  <c r="AA353" i="1" s="1"/>
  <c r="Y350" i="1"/>
  <c r="O350" i="1"/>
  <c r="Z350" i="1" s="1"/>
  <c r="AA350" i="1" s="1"/>
  <c r="Y349" i="1"/>
  <c r="O349" i="1"/>
  <c r="Y348" i="1"/>
  <c r="O348" i="1"/>
  <c r="Z348" i="1" s="1"/>
  <c r="AA348" i="1" s="1"/>
  <c r="O346" i="1"/>
  <c r="Z346" i="1" s="1"/>
  <c r="AA346" i="1" s="1"/>
  <c r="O345" i="1"/>
  <c r="Z345" i="1" s="1"/>
  <c r="AA345" i="1" s="1"/>
  <c r="O343" i="1"/>
  <c r="Z343" i="1" s="1"/>
  <c r="AA343" i="1" s="1"/>
  <c r="O342" i="1"/>
  <c r="AA342" i="1" s="1"/>
  <c r="Y341" i="1"/>
  <c r="O341" i="1"/>
  <c r="Z341" i="1" s="1"/>
  <c r="AA341" i="1" s="1"/>
  <c r="Y340" i="1"/>
  <c r="O340" i="1"/>
  <c r="Z340" i="1" s="1"/>
  <c r="AA340" i="1" s="1"/>
  <c r="Y339" i="1"/>
  <c r="O339" i="1"/>
  <c r="Y338" i="1"/>
  <c r="O338" i="1"/>
  <c r="Z338" i="1" s="1"/>
  <c r="AA338" i="1" s="1"/>
  <c r="Y337" i="1"/>
  <c r="O337" i="1"/>
  <c r="Z337" i="1" s="1"/>
  <c r="AA337" i="1" s="1"/>
  <c r="Y336" i="1"/>
  <c r="O336" i="1"/>
  <c r="AA336" i="1" s="1"/>
  <c r="Y334" i="1"/>
  <c r="O334" i="1"/>
  <c r="Z334" i="1" s="1"/>
  <c r="AA334" i="1" s="1"/>
  <c r="Y333" i="1"/>
  <c r="O333" i="1"/>
  <c r="K332" i="1"/>
  <c r="O332" i="1" s="1"/>
  <c r="Z333" i="1" l="1"/>
  <c r="AA333" i="1" s="1"/>
  <c r="Z332" i="1"/>
  <c r="O331" i="1"/>
  <c r="K331" i="1"/>
  <c r="Z339" i="1"/>
  <c r="AA339" i="1" s="1"/>
  <c r="AA349" i="1"/>
  <c r="K292" i="1"/>
  <c r="K291" i="1" s="1"/>
  <c r="K262" i="1"/>
  <c r="K209" i="1"/>
  <c r="O209" i="1" s="1"/>
  <c r="K179" i="1"/>
  <c r="K149" i="1"/>
  <c r="K123" i="1"/>
  <c r="O123" i="1" s="1"/>
  <c r="K66" i="1"/>
  <c r="K52" i="1"/>
  <c r="Z123" i="1" l="1"/>
  <c r="AA332" i="1"/>
  <c r="Z331" i="1"/>
  <c r="AA331" i="1" s="1"/>
  <c r="I209" i="1" l="1"/>
  <c r="O52" i="1"/>
  <c r="O42" i="1"/>
  <c r="O39" i="1"/>
  <c r="O38" i="1"/>
  <c r="Z38" i="1" s="1"/>
  <c r="O37" i="1"/>
  <c r="Z37" i="1" s="1"/>
  <c r="O36" i="1"/>
  <c r="O35" i="1"/>
  <c r="O20" i="1"/>
  <c r="O19" i="1"/>
  <c r="O16" i="1"/>
  <c r="O15" i="1"/>
  <c r="O14" i="1"/>
  <c r="O13" i="1"/>
  <c r="T34" i="1" l="1"/>
  <c r="O34" i="1"/>
  <c r="Y68" i="1" l="1"/>
  <c r="X122" i="1" l="1"/>
  <c r="X234" i="1" l="1"/>
  <c r="W234" i="1" l="1"/>
  <c r="W122" i="1" l="1"/>
  <c r="V331" i="1" l="1"/>
  <c r="V234" i="1" l="1"/>
  <c r="Y111" i="1"/>
  <c r="Y110" i="1"/>
  <c r="Y109" i="1"/>
  <c r="Y108" i="1"/>
  <c r="Y107" i="1"/>
  <c r="Y106" i="1"/>
  <c r="Y105" i="1"/>
  <c r="V33" i="1"/>
  <c r="V122" i="1"/>
  <c r="U234" i="1" l="1"/>
  <c r="Y66" i="1" l="1"/>
  <c r="U33" i="1"/>
  <c r="Y296" i="1" l="1"/>
  <c r="Z296" i="1" l="1"/>
  <c r="AA296" i="1" s="1"/>
  <c r="Y43" i="1" l="1"/>
  <c r="Y150" i="1" l="1"/>
  <c r="AA187" i="1" l="1"/>
  <c r="AA186" i="1"/>
  <c r="Z39" i="1" l="1"/>
  <c r="R122" i="1" l="1"/>
  <c r="T66" i="1"/>
  <c r="P33" i="1" l="1"/>
  <c r="P122" i="1"/>
  <c r="S33" i="1" l="1"/>
  <c r="R33" i="1"/>
  <c r="Q33" i="1"/>
  <c r="O291" i="1" l="1"/>
  <c r="Y248" i="1" l="1"/>
  <c r="O248" i="1"/>
  <c r="Y246" i="1"/>
  <c r="O246" i="1"/>
  <c r="Z246" i="1" l="1"/>
  <c r="AA246" i="1" s="1"/>
  <c r="Z248" i="1"/>
  <c r="AA248" i="1" s="1"/>
  <c r="O263" i="1"/>
  <c r="M234" i="1"/>
  <c r="Y245" i="1"/>
  <c r="O245" i="1"/>
  <c r="Z245" i="1" l="1"/>
  <c r="Z242" i="1"/>
  <c r="AA242" i="1" l="1"/>
  <c r="Y297" i="1" l="1"/>
  <c r="AA297" i="1" l="1"/>
  <c r="O151" i="1" l="1"/>
  <c r="O184" i="1" l="1"/>
  <c r="O183" i="1"/>
  <c r="Z183" i="1" l="1"/>
  <c r="AA183" i="1" s="1"/>
  <c r="Z184" i="1"/>
  <c r="AA184" i="1" s="1"/>
  <c r="Y298" i="1"/>
  <c r="O298" i="1"/>
  <c r="Z298" i="1" l="1"/>
  <c r="AA298" i="1" s="1"/>
  <c r="Z42" i="1"/>
  <c r="AA42" i="1" l="1"/>
  <c r="O189" i="1"/>
  <c r="O185" i="1"/>
  <c r="Z189" i="1" l="1"/>
  <c r="AA189" i="1" s="1"/>
  <c r="Z185" i="1"/>
  <c r="AA185" i="1" s="1"/>
  <c r="Y92" i="1"/>
  <c r="T92" i="1"/>
  <c r="O92" i="1"/>
  <c r="K122" i="1"/>
  <c r="O66" i="1"/>
  <c r="K12" i="1"/>
  <c r="Z92" i="1" l="1"/>
  <c r="AA92" i="1" s="1"/>
  <c r="K33" i="1"/>
  <c r="N12" i="1"/>
  <c r="N364" i="1" s="1"/>
  <c r="L12" i="1"/>
  <c r="Y99" i="1" l="1"/>
  <c r="Y98" i="1"/>
  <c r="Y97" i="1"/>
  <c r="Y96" i="1"/>
  <c r="Y95" i="1"/>
  <c r="Y94" i="1"/>
  <c r="Y93" i="1"/>
  <c r="T13" i="1" l="1"/>
  <c r="T14" i="1"/>
  <c r="T20" i="1"/>
  <c r="Z13" i="1" l="1"/>
  <c r="Y12" i="1"/>
  <c r="Z15" i="1"/>
  <c r="Z16" i="1"/>
  <c r="Z14" i="1"/>
  <c r="O12" i="1"/>
  <c r="Z20" i="1"/>
  <c r="X291" i="1" l="1"/>
  <c r="X33" i="1" l="1"/>
  <c r="X331" i="1"/>
  <c r="X364" i="1" l="1"/>
  <c r="W331" i="1"/>
  <c r="W33" i="1" l="1"/>
  <c r="Y53" i="1" l="1"/>
  <c r="Y52" i="1" l="1"/>
  <c r="Y67" i="1" l="1"/>
  <c r="V291" i="1" l="1"/>
  <c r="V364" i="1" s="1"/>
  <c r="Y123" i="1" l="1"/>
  <c r="U291" i="1" l="1"/>
  <c r="U331" i="1"/>
  <c r="Y279" i="1" l="1"/>
  <c r="Y278" i="1"/>
  <c r="Y277" i="1"/>
  <c r="Y276" i="1"/>
  <c r="Y275" i="1"/>
  <c r="Y295" i="1" l="1"/>
  <c r="Y294" i="1"/>
  <c r="Y293" i="1"/>
  <c r="Y292" i="1"/>
  <c r="Y269" i="1"/>
  <c r="Y268" i="1"/>
  <c r="Y267" i="1"/>
  <c r="Y266" i="1"/>
  <c r="Y265" i="1"/>
  <c r="Y264" i="1"/>
  <c r="Y263" i="1"/>
  <c r="Y262" i="1"/>
  <c r="S234" i="1" l="1"/>
  <c r="S364" i="1" s="1"/>
  <c r="Z263" i="1" l="1"/>
  <c r="O130" i="1" l="1"/>
  <c r="Z130" i="1" s="1"/>
  <c r="O131" i="1"/>
  <c r="Z131" i="1" l="1"/>
  <c r="AA131" i="1"/>
  <c r="R234" i="1"/>
  <c r="R364" i="1" s="1"/>
  <c r="AA130" i="1" l="1"/>
  <c r="Q234" i="1" l="1"/>
  <c r="Q364" i="1" l="1"/>
  <c r="P234" i="1" l="1"/>
  <c r="P364" i="1" l="1"/>
  <c r="AA123" i="1" l="1"/>
  <c r="O99" i="1" l="1"/>
  <c r="O98" i="1"/>
  <c r="O97" i="1"/>
  <c r="O96" i="1"/>
  <c r="O95" i="1"/>
  <c r="O94" i="1"/>
  <c r="O93" i="1"/>
  <c r="O268" i="1"/>
  <c r="O292" i="1" l="1"/>
  <c r="M33" i="1"/>
  <c r="M364" i="1" s="1"/>
  <c r="L33" i="1" l="1"/>
  <c r="L364" i="1" s="1"/>
  <c r="AD36" i="1" l="1"/>
  <c r="AD44" i="1"/>
  <c r="AD46" i="1"/>
  <c r="AA38" i="1" l="1"/>
  <c r="AA39" i="1"/>
  <c r="AA37" i="1"/>
  <c r="I359" i="1"/>
  <c r="O293" i="1" l="1"/>
  <c r="Z293" i="1" s="1"/>
  <c r="O192" i="1" l="1"/>
  <c r="Z192" i="1" l="1"/>
  <c r="AA192" i="1" s="1"/>
  <c r="O267" i="1"/>
  <c r="AA245" i="1" l="1"/>
  <c r="AA263" i="1" l="1"/>
  <c r="W291" i="1"/>
  <c r="W364" i="1" s="1"/>
  <c r="O276" i="1"/>
  <c r="O275" i="1"/>
  <c r="K234" i="1"/>
  <c r="K364" i="1" s="1"/>
  <c r="Z209" i="1"/>
  <c r="O33" i="1"/>
  <c r="O364" i="1" l="1"/>
  <c r="Z95" i="1" l="1"/>
  <c r="AA95" i="1" s="1"/>
  <c r="Z94" i="1"/>
  <c r="AA94" i="1" s="1"/>
  <c r="Z93" i="1"/>
  <c r="AA93" i="1" s="1"/>
  <c r="Z67" i="1"/>
  <c r="Z66" i="1" s="1"/>
  <c r="AA66" i="1" s="1"/>
  <c r="Z99" i="1" l="1"/>
  <c r="AA99" i="1" s="1"/>
  <c r="O295" i="1" l="1"/>
  <c r="Z295" i="1" s="1"/>
  <c r="O294" i="1"/>
  <c r="Z294" i="1" s="1"/>
  <c r="U122" i="1" l="1"/>
  <c r="U364" i="1" s="1"/>
  <c r="O279" i="1" l="1"/>
  <c r="O278" i="1"/>
  <c r="O277" i="1"/>
  <c r="O269" i="1"/>
  <c r="O266" i="1"/>
  <c r="O265" i="1"/>
  <c r="O264" i="1"/>
  <c r="O241" i="1"/>
  <c r="O240" i="1"/>
  <c r="Z240" i="1" s="1"/>
  <c r="O182" i="1"/>
  <c r="O181" i="1"/>
  <c r="O159" i="1"/>
  <c r="Z159" i="1" s="1"/>
  <c r="O158" i="1"/>
  <c r="O157" i="1"/>
  <c r="Z157" i="1" s="1"/>
  <c r="O156" i="1"/>
  <c r="Z156" i="1" s="1"/>
  <c r="O155" i="1"/>
  <c r="Z155" i="1" s="1"/>
  <c r="O154" i="1"/>
  <c r="Z154" i="1" s="1"/>
  <c r="Y151" i="1"/>
  <c r="O150" i="1"/>
  <c r="O149" i="1" s="1"/>
  <c r="Z149" i="1" s="1"/>
  <c r="Z98" i="1"/>
  <c r="AA98" i="1" s="1"/>
  <c r="Z97" i="1"/>
  <c r="AA97" i="1" s="1"/>
  <c r="Z96" i="1"/>
  <c r="AA96" i="1" s="1"/>
  <c r="Y71" i="1"/>
  <c r="AA71" i="1" s="1"/>
  <c r="Y70" i="1"/>
  <c r="Y69" i="1"/>
  <c r="Z68" i="1"/>
  <c r="Y35" i="1"/>
  <c r="Z181" i="1" l="1"/>
  <c r="AA181" i="1" s="1"/>
  <c r="Z158" i="1"/>
  <c r="AA158" i="1" s="1"/>
  <c r="AA182" i="1"/>
  <c r="Z241" i="1"/>
  <c r="AA241" i="1" s="1"/>
  <c r="AA159" i="1"/>
  <c r="AA157" i="1"/>
  <c r="I66" i="1"/>
  <c r="I33" i="1" s="1"/>
  <c r="Z35" i="1"/>
  <c r="AA35" i="1" s="1"/>
  <c r="Y34" i="1"/>
  <c r="Z70" i="1"/>
  <c r="AA70" i="1" s="1"/>
  <c r="Z150" i="1"/>
  <c r="AA150" i="1" s="1"/>
  <c r="Y331" i="1"/>
  <c r="AA68" i="1"/>
  <c r="Z69" i="1"/>
  <c r="AA69" i="1" s="1"/>
  <c r="Z53" i="1"/>
  <c r="AA53" i="1" s="1"/>
  <c r="Z266" i="1"/>
  <c r="AA266" i="1" s="1"/>
  <c r="AA13" i="1"/>
  <c r="AA293" i="1"/>
  <c r="Z264" i="1"/>
  <c r="AA264" i="1" s="1"/>
  <c r="O262" i="1"/>
  <c r="AA16" i="1"/>
  <c r="Z151" i="1"/>
  <c r="AA151" i="1" s="1"/>
  <c r="AA156" i="1"/>
  <c r="Z265" i="1"/>
  <c r="AA265" i="1" s="1"/>
  <c r="Z278" i="1"/>
  <c r="AA278" i="1" s="1"/>
  <c r="Z267" i="1"/>
  <c r="AA267" i="1" s="1"/>
  <c r="T292" i="1"/>
  <c r="T291" i="1" s="1"/>
  <c r="AA153" i="1"/>
  <c r="AA155" i="1"/>
  <c r="Z269" i="1"/>
  <c r="AA269" i="1" s="1"/>
  <c r="AA15" i="1"/>
  <c r="O179" i="1"/>
  <c r="Z179" i="1" s="1"/>
  <c r="Z277" i="1"/>
  <c r="AA277" i="1" s="1"/>
  <c r="AA154" i="1"/>
  <c r="Z268" i="1"/>
  <c r="AA268" i="1" s="1"/>
  <c r="Z279" i="1"/>
  <c r="AA279" i="1" s="1"/>
  <c r="AA20" i="1"/>
  <c r="O122" i="1" l="1"/>
  <c r="T122" i="1"/>
  <c r="T33" i="1"/>
  <c r="Z292" i="1"/>
  <c r="Z291" i="1" s="1"/>
  <c r="Z122" i="1"/>
  <c r="Z52" i="1"/>
  <c r="Z34" i="1"/>
  <c r="AA34" i="1" s="1"/>
  <c r="O234" i="1"/>
  <c r="T234" i="1"/>
  <c r="Z262" i="1"/>
  <c r="Z275" i="1"/>
  <c r="AA275" i="1" s="1"/>
  <c r="Z276" i="1"/>
  <c r="Y234" i="1"/>
  <c r="AA14" i="1"/>
  <c r="Y291" i="1"/>
  <c r="Y33" i="1"/>
  <c r="AA292" i="1" l="1"/>
  <c r="Z33" i="1"/>
  <c r="AA33" i="1" s="1"/>
  <c r="AA67" i="1"/>
  <c r="AA276" i="1"/>
  <c r="AA52" i="1"/>
  <c r="AA262" i="1"/>
  <c r="AA291" i="1"/>
  <c r="Z234" i="1"/>
  <c r="AA240" i="1"/>
  <c r="AA234" i="1" l="1"/>
  <c r="I122" i="1" l="1"/>
  <c r="AA149" i="1"/>
  <c r="AD362" i="1" l="1"/>
  <c r="AD360" i="1" s="1"/>
  <c r="AD179" i="1"/>
  <c r="AD170" i="1"/>
  <c r="AD15" i="1"/>
  <c r="AD16" i="1"/>
  <c r="AD17" i="1"/>
  <c r="AD18" i="1"/>
  <c r="AD21" i="1"/>
  <c r="AD70" i="1" l="1"/>
  <c r="AD69" i="1"/>
  <c r="AD68" i="1"/>
  <c r="AD292" i="1"/>
  <c r="AD67" i="1" l="1"/>
  <c r="AD66" i="1" s="1"/>
  <c r="AD355" i="1" l="1"/>
  <c r="AD354" i="1"/>
  <c r="AD353" i="1"/>
  <c r="AD340" i="1"/>
  <c r="AD333" i="1"/>
  <c r="AD332" i="1"/>
  <c r="AD276" i="1"/>
  <c r="AD275" i="1"/>
  <c r="AD267" i="1"/>
  <c r="AD262" i="1"/>
  <c r="AD263" i="1"/>
  <c r="AD245" i="1"/>
  <c r="AD236" i="1"/>
  <c r="AD253" i="1"/>
  <c r="AD152" i="1"/>
  <c r="AD151" i="1"/>
  <c r="AD149" i="1"/>
  <c r="AD124" i="1"/>
  <c r="AD123" i="1"/>
  <c r="AD92" i="1"/>
  <c r="AD54" i="1"/>
  <c r="AD34" i="1"/>
  <c r="AD35" i="1"/>
  <c r="AD235" i="1" l="1"/>
  <c r="I234" i="1" l="1"/>
  <c r="I364" i="1" s="1"/>
  <c r="AA209" i="1" l="1"/>
  <c r="Y122" i="1"/>
  <c r="Y364" i="1" s="1"/>
  <c r="AA179" i="1" l="1"/>
  <c r="AA122" i="1" l="1"/>
  <c r="T19" i="1"/>
  <c r="Z19" i="1" l="1"/>
  <c r="T12" i="1"/>
  <c r="T364" i="1" s="1"/>
  <c r="Z364" i="1" s="1"/>
  <c r="AA19" i="1"/>
  <c r="Z12" i="1"/>
  <c r="AA364" i="1" l="1"/>
  <c r="AA12" i="1"/>
</calcChain>
</file>

<file path=xl/sharedStrings.xml><?xml version="1.0" encoding="utf-8"?>
<sst xmlns="http://schemas.openxmlformats.org/spreadsheetml/2006/main" count="2091" uniqueCount="470">
  <si>
    <t>Ser la institución rectora del desarrollo económico nacional para crear oportunidades de inversión y generación de empleo formal.</t>
  </si>
  <si>
    <t xml:space="preserve">Contribuir  a la mejora de las condiciones de vida de los guatemaltecos, apoyando el incremento de  la competitividad  del país, fomentando la inversión, desarrollando las Micro, Pequeñas y Medianas Empresas  y  fortaleciendo el comercio exterior. </t>
  </si>
  <si>
    <t xml:space="preserve">VINCULACIÓN INSTITUCIONAL </t>
  </si>
  <si>
    <t>UNIDAD DE MEDIDA</t>
  </si>
  <si>
    <t xml:space="preserve">ACCIONES </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</si>
  <si>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</si>
  <si>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</si>
  <si>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</si>
  <si>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</si>
  <si>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</si>
  <si>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</si>
  <si>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</si>
  <si>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</si>
  <si>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</si>
  <si>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</si>
  <si>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Nov</t>
  </si>
  <si>
    <t xml:space="preserve">Dic </t>
  </si>
  <si>
    <t xml:space="preserve">TOTAL PROGRAMA </t>
  </si>
  <si>
    <t>Dirección y Coordinación Superior</t>
  </si>
  <si>
    <t>Documento</t>
  </si>
  <si>
    <t>Servicios de Gestión y Financiamiento Externo</t>
  </si>
  <si>
    <t>Servicios de Auditoria Interna</t>
  </si>
  <si>
    <t>Servicios Generales</t>
  </si>
  <si>
    <t xml:space="preserve">Persona </t>
  </si>
  <si>
    <t>Persona</t>
  </si>
  <si>
    <t xml:space="preserve">Documento </t>
  </si>
  <si>
    <t xml:space="preserve">Certificados de constancia de capacitaciones </t>
  </si>
  <si>
    <t>Evento</t>
  </si>
  <si>
    <t xml:space="preserve">Evento </t>
  </si>
  <si>
    <t xml:space="preserve">Registro </t>
  </si>
  <si>
    <t xml:space="preserve">Registro de Comerciantes Individuales </t>
  </si>
  <si>
    <t xml:space="preserve">Registro de Sociedades Extranjeras </t>
  </si>
  <si>
    <t xml:space="preserve">Registro de cancelación de sociedades </t>
  </si>
  <si>
    <t xml:space="preserve">Registro de emisión de acciones </t>
  </si>
  <si>
    <t xml:space="preserve">Registro de actas </t>
  </si>
  <si>
    <t xml:space="preserve">Registro de Modificación de Sociedades </t>
  </si>
  <si>
    <t xml:space="preserve">Registro de modificación de  Empresas </t>
  </si>
  <si>
    <t>Registro de Auxiliares de comercio</t>
  </si>
  <si>
    <t xml:space="preserve">Registro de cancelación de empresas </t>
  </si>
  <si>
    <t xml:space="preserve">Registro de mandatos </t>
  </si>
  <si>
    <t xml:space="preserve">Registro de cancelación de auxiliares </t>
  </si>
  <si>
    <t xml:space="preserve">Cancelación de mandatos </t>
  </si>
  <si>
    <t xml:space="preserve">Cancelación de acciones </t>
  </si>
  <si>
    <t xml:space="preserve">Certificaciones a usuarios </t>
  </si>
  <si>
    <t xml:space="preserve">Emisión de  edictos </t>
  </si>
  <si>
    <t>Modificación Sociedades extranjeras</t>
  </si>
  <si>
    <t>Registro de marcas, patentes y derechos de autor.</t>
  </si>
  <si>
    <t xml:space="preserve">Registro de nombres comerciales y señales de propaganda </t>
  </si>
  <si>
    <t xml:space="preserve">Registro de renovaciones, traspasos y modificaciones de marcas </t>
  </si>
  <si>
    <t xml:space="preserve">Anualidades de Patentes de invención, modelos de utilidad y diseños industriales </t>
  </si>
  <si>
    <t>Implementación del boletín oficial -BORPI-</t>
  </si>
  <si>
    <t xml:space="preserve">Entidad </t>
  </si>
  <si>
    <t xml:space="preserve">Consultas Técnicas Atendidas </t>
  </si>
  <si>
    <t>Normas consultadas</t>
  </si>
  <si>
    <t xml:space="preserve">Laboratorios de ensayo, calibración y organismos de inspección  beneficiados con servicios de Evaluación inicial, de mantenimiento, ampliación/reducción y de reacreditación de laboratorios </t>
  </si>
  <si>
    <t>Conferencias o Cursos de divulgación y socialización de Reglamentos Técnicos nacionales y regionales</t>
  </si>
  <si>
    <t xml:space="preserve">Recopilación y/o actualización de reglamentos técnicos  nacionales y regionales </t>
  </si>
  <si>
    <t xml:space="preserve">Actividades de capacitación para la implementación o uso de la Guía de Buenas Practicas Reglamentarias </t>
  </si>
  <si>
    <t xml:space="preserve">Importadores y exportadores beneficiados con Resoluciones de Autorización para exportar conjuntamente Decreto 29-89 </t>
  </si>
  <si>
    <t xml:space="preserve">Modificaciones de la resolución de calificación </t>
  </si>
  <si>
    <t xml:space="preserve">Autorización de transferencias </t>
  </si>
  <si>
    <t xml:space="preserve">Autorización de enajenaciones </t>
  </si>
  <si>
    <t xml:space="preserve">Autorización para subcontrataciones entre empresas </t>
  </si>
  <si>
    <t>Cancelación  resoluciones de calificación  Decreto 29-89</t>
  </si>
  <si>
    <t xml:space="preserve">Modificación de usuarios de zonas francas </t>
  </si>
  <si>
    <t xml:space="preserve">Cancelación de usuarios de zonas francas </t>
  </si>
  <si>
    <t xml:space="preserve">Cancelación de zonas francas </t>
  </si>
  <si>
    <t xml:space="preserve">PROGRAMA 13: GESTIÓN DE LA INTEGRACIÓN ECONÓMICA Y COMERCIO EXTERIOR </t>
  </si>
  <si>
    <t xml:space="preserve">Integración Económica Centroamericana </t>
  </si>
  <si>
    <t xml:space="preserve">Aplicación de los compromisos en el marco de los acuerdos de OMC </t>
  </si>
  <si>
    <t xml:space="preserve">Participación activa de Guatemala dentro del mecanismo de solución de diferencias </t>
  </si>
  <si>
    <t>Participación dentro de los Comités de los acuerdos  de la OMC, OMPI, UNCTAD, CCI</t>
  </si>
  <si>
    <t>Establecimiento y fortalecimiento de mecanismos de consulta con el sector privado y sociedad civil</t>
  </si>
  <si>
    <t xml:space="preserve">Representación de Guatemala en foros comerciales  y reuniones </t>
  </si>
  <si>
    <t xml:space="preserve">Ferias comerciales </t>
  </si>
  <si>
    <t xml:space="preserve">PROGRAMA 14: DESARROLLO DE LA MICRO, PEQUEÑA Y MEDIANA EMPRESA </t>
  </si>
  <si>
    <t xml:space="preserve">Precalificación y calificación de nuevas entidades  de servicios financieros en el cumplimiento al Reglamento de Operaciones Financieras </t>
  </si>
  <si>
    <t xml:space="preserve">PROGRAMA 15: ASISTENCIA Y PROTECCIÓN AL CONSUMIDOR Y SUPERVISIÓN DEL COMERCIO INTERNO </t>
  </si>
  <si>
    <t xml:space="preserve">Personas capacitadas </t>
  </si>
  <si>
    <t xml:space="preserve">Asesorías técnicas sobre derechos y obligaciones </t>
  </si>
  <si>
    <t xml:space="preserve">Autorización de libro de quejas </t>
  </si>
  <si>
    <t xml:space="preserve">Resolución de autorización de contratos de adhesión </t>
  </si>
  <si>
    <t xml:space="preserve">Registro y base de datos de quejas recibidas y recepción de expedientes de instrumentos de mediación y pesaje y contratos de Adhesión </t>
  </si>
  <si>
    <t>Resoluciones de dirección e informes</t>
  </si>
  <si>
    <t xml:space="preserve">Reproducción y distribución de material educativo-informativo  </t>
  </si>
  <si>
    <t>Supervisión a proveedores que informan y publican sus productos y servicios que comercializan</t>
  </si>
  <si>
    <t xml:space="preserve">PROGRAMA 99: PARTIDAS NO ASIGNABLES A PROGRAMAS </t>
  </si>
  <si>
    <t xml:space="preserve">Aportes y cuotas a organismos económicos y comerciales </t>
  </si>
  <si>
    <t xml:space="preserve">Aportes a organismos de investigación económica </t>
  </si>
  <si>
    <t xml:space="preserve">Generar las condiciones que permitan la atracción de inversiones para la creación de empleo digno y así promover el desarrollo económico de los guatemaltecos.  </t>
  </si>
  <si>
    <t xml:space="preserve">RESULTADO INSTITUCIONAL </t>
  </si>
  <si>
    <t xml:space="preserve">SIN RESULTADO </t>
  </si>
  <si>
    <t>Administración eficiente de los recursos humanos y materiales asignados al Ministerio de Economía en el presupuesto de Ingresos y Gastos del Estado</t>
  </si>
  <si>
    <t>Acciones</t>
  </si>
  <si>
    <t xml:space="preserve">PRODUCTO </t>
  </si>
  <si>
    <t>SUBPRODUCTO</t>
  </si>
  <si>
    <t xml:space="preserve">META INICIAL </t>
  </si>
  <si>
    <t xml:space="preserve">AVANCE ACUMULADO ENERO-DICIEMBRE </t>
  </si>
  <si>
    <t xml:space="preserve">% AVANCE ACUMULADO ENERO - DICIEMBRE </t>
  </si>
  <si>
    <t xml:space="preserve">INFORMACIÓN RELEVANTE/ALERTAS/ PROBLEMAS </t>
  </si>
  <si>
    <t xml:space="preserve">OBJETIVO OPERATIVO </t>
  </si>
  <si>
    <t xml:space="preserve">REGISTRO DEL MERCADO DE VALORES Y MERCANCÍAS </t>
  </si>
  <si>
    <t xml:space="preserve">Acción </t>
  </si>
  <si>
    <t xml:space="preserve">Actividad </t>
  </si>
  <si>
    <t>REGISTRO DE PRESTADORES DE SERVICIOS DE CERTIFICACIÓN</t>
  </si>
  <si>
    <t>Autorizar, registrar e inscribir a las entidades  prestadoras de servicios  de certificación para promover y facilitar el comercio electrónico a nivel global, regional y nacional  de acuerdo a la  Ley 47-2008 del Congreso de la República.</t>
  </si>
  <si>
    <t xml:space="preserve">REGISTRO DE GARANTÍAS MOBILIARIAS </t>
  </si>
  <si>
    <t xml:space="preserve">Servicios de Registro de Garantías Mobiliarias </t>
  </si>
  <si>
    <t xml:space="preserve"> Servicios de Registro de Patentes Comerciales y Títulos de Propiedad Intelectual.</t>
  </si>
  <si>
    <t xml:space="preserve">REGISTRO DE LA PROPIEDAD INTELECTUAL </t>
  </si>
  <si>
    <t xml:space="preserve"> Promover la competitividad y mejorar los niveles de productividad a nivel nacional. </t>
  </si>
  <si>
    <t>Servicios de Análisis, Diagnósticos y Proyectos para mejorar la Inversión y Competitividad .</t>
  </si>
  <si>
    <t xml:space="preserve">DIRECCIÓN DEL SISTEMA NACIONAL DE LA CALIDAD </t>
  </si>
  <si>
    <t>Dirigir,  coordinar y unificar las actividades y políticas nacionales en materia de fijación de normas y optimización de acciones orientadas a promover la competitividad del país.</t>
  </si>
  <si>
    <t xml:space="preserve"> Servicios de Normalización, Metrología y Acreditación.</t>
  </si>
  <si>
    <t xml:space="preserve">DIRECCIÓN DE PROMOCIÓN A LA COMPETENCIA </t>
  </si>
  <si>
    <t>Analizar el comportamiento de los diferentes mercados de bienes y servicios en el país, analizar la relación comercio y competencia, promover criterios técnicos en esa materia en los tratados y convenios internacionales, así como, realizar campañas de promoción de la cultura de la competencia y proponer un marco legal y una política nacional en la materia . Seguimiento al proceso de aprobación de la Ley de Defensa de la Libre Competencia.</t>
  </si>
  <si>
    <t>Servicios de Capacitación para la Cultura de la Competencia.</t>
  </si>
  <si>
    <t xml:space="preserve">DIRECCIÓN DE SERVICIOS AL COMERCIO Y A LA INVERSIÓN </t>
  </si>
  <si>
    <t xml:space="preserve"> Coordinar las acciones que contribuyan a la agilización de la gestión administrativa, para la eficiente aplicación de las leyes de fomento a la inversión y empleo. Administración Decretos 29-89 y 65-89.</t>
  </si>
  <si>
    <t>Servicios de Calificación y Exoneración Fiscal en la Actividad Exportadora y de Maquila.</t>
  </si>
  <si>
    <t>Atraer Inversión Extranjera Directa como motor de crecimiento y diversificación económica y promover la inserción exitosa de Guatemala en el contexto globalizado del comercio.</t>
  </si>
  <si>
    <t>DIRECCIÓN DE POLÍTICA DE COMERCIO EXTERIOR</t>
  </si>
  <si>
    <t xml:space="preserve">Servicios de Gestión de Financiamiento Externo </t>
  </si>
  <si>
    <t xml:space="preserve">DIRECCIÓN DE ADMINISTRACIÓN DEL COMERCIO EXTERIOR </t>
  </si>
  <si>
    <t xml:space="preserve"> Administrar los acuerdos comerciales internacionales vigentes para Guatemala, propiciando su óptimo aprovechamiento.</t>
  </si>
  <si>
    <t>MISIÓN PERMANENTE DE GUATEMALA ANTE LA ORGANIZACIÓN MUNDIAL DEL COMERCIO -OMC-</t>
  </si>
  <si>
    <t xml:space="preserve"> Posicionar los intereses comerciales de Guatemala en el la Organización Mundial del Comercio -OMA-   y otros organismos internacionales como; Organización Mundial de la Propiedad Intelectual -OMPI-, el Centro de Comercio Internacional -CCI- la Conferencia de Naciones Unidas cobre comercio y desarrollo -CNUCED-.</t>
  </si>
  <si>
    <t xml:space="preserve"> Es la encargada de elaborar informes técnicos y suministrar datos estadísticos, para apoyar y sustentar la formulación de políticas, estrategias, y asesoría en el materia comercial y macroeconómica, así como el análisis permanente de la coyuntura económica internacional.</t>
  </si>
  <si>
    <t xml:space="preserve">RESULTADO ESTRATÉGICO </t>
  </si>
  <si>
    <t>Fortalecer el ecosistema de las MIPYMEs y cooperativas para atracción de empleo y desarrollo económico de los guatemaltecos.</t>
  </si>
  <si>
    <t xml:space="preserve">DIRECCIÓN DE SERVICIOS FINANCIEROS EMPRESARIALES </t>
  </si>
  <si>
    <t xml:space="preserve"> Facilitación de recursos y servicios financieros en forma ágil y oportuna dentro de un marco de fomento adecuado con el fin de generar fuentes de trabajo, contribuir a disminuir los índices de pobreza y como un medio para el desarrollo del país. ( Programa Nacional SNIP 3496)</t>
  </si>
  <si>
    <t xml:space="preserve">DIRECCIÓN DE SERVICIOS  DE DESARROLLO EMPRESARIAL </t>
  </si>
  <si>
    <t xml:space="preserve">Promover la calidad en los bienes y servicios para satisfacción del consumidor. </t>
  </si>
  <si>
    <t xml:space="preserve">Educar, informar y defender los derechos de los consumidores y usuarios, aplicando la  Ley de Protección al Consumidor y Usuario, Decreto 6-2003 del congreso de la República y su Reglamento AG. No. 777-2003, la cual tiene por objeto promover, divulgar y defender los derechos de los consumidores y usuarios, establecer las infracciones, sanciones y los procedimientos aplicables en dicha materia. </t>
  </si>
  <si>
    <t xml:space="preserve"> Servicios de Asistencia, Protección y Educación al Consumidor.</t>
  </si>
  <si>
    <t>Verificación y vigilancia de las obligaciones de los proveedores para beneficio de los consumidores y usuarios guatemaltecos enmarcados en la Ley de protección al consumidor Decreto 6-2003 y su Reglamento AG. 777-2003 Seguimiento al proceso de aprobación de la Ley de Creación de la Procuraduría del Consumidor.</t>
  </si>
  <si>
    <t>Servicios de Supervisión del Comercio Interno.</t>
  </si>
  <si>
    <t>No.</t>
  </si>
  <si>
    <t>VISIÓN</t>
  </si>
  <si>
    <t>MISIÓN</t>
  </si>
  <si>
    <t>OBJETIVO ESTRATÉGICO</t>
  </si>
  <si>
    <t>Brindar certeza jurídica a través de los servicios registrales que presta el Ministerio de Economía.</t>
  </si>
  <si>
    <t xml:space="preserve">PROGRAMA 11 : SERVICIOS REGISTRALES </t>
  </si>
  <si>
    <t xml:space="preserve">INDICADOR </t>
  </si>
  <si>
    <t xml:space="preserve">Mujeres </t>
  </si>
  <si>
    <t>Búsquedas</t>
  </si>
  <si>
    <t>Actividad: 
VINCULACIÓN INSTITUCIONAL</t>
  </si>
  <si>
    <t xml:space="preserve">Actividad: 
VINCULACIÓN INSTITUCIONAL
</t>
  </si>
  <si>
    <t xml:space="preserve">META VIGENTE  </t>
  </si>
  <si>
    <t>Registro, certificación, dar certeza jurídica  a todos los actos mercantiles que realizan las personas individuales o jurídicas, resguardando los documentos correspondientes y proporcionando la información que de ellos se haya registrado, facilitando  las operaciones mercantiles para incentivar la inversión nacional y extrajera y fomentar el desarrollo social y económico del país, de conformidad con el Código de Comercio, Reglamento y leyes aplicables.</t>
  </si>
  <si>
    <t>REGISTRO MERCANTIL GENERAL DE LA REPÚBLICA</t>
  </si>
  <si>
    <t>PROGRAMA NACIONAL DE COMPETITIVIDAD</t>
  </si>
  <si>
    <t xml:space="preserve">ÓRGANO DE PLANIFICACIÓN, PROYECTOS Y COOPERACIÓN </t>
  </si>
  <si>
    <t>ÓRGANO DE POLÍTICA Y  ANÁLISIS ECONÓMICO</t>
  </si>
  <si>
    <t xml:space="preserve">Auditorias ordinarias a los Prestadores de Servicios de Certificación </t>
  </si>
  <si>
    <r>
      <t xml:space="preserve">AVANCE FÍSICO 1ER. </t>
    </r>
    <r>
      <rPr>
        <b/>
        <sz val="9"/>
        <color indexed="8"/>
        <rFont val="Times New Roman"/>
        <family val="1"/>
      </rPr>
      <t xml:space="preserve">CUATRIMESTRE </t>
    </r>
  </si>
  <si>
    <r>
      <t xml:space="preserve">AVANCE FÍSICO 2DO. </t>
    </r>
    <r>
      <rPr>
        <b/>
        <sz val="9"/>
        <color indexed="8"/>
        <rFont val="Times New Roman"/>
        <family val="1"/>
      </rPr>
      <t>CUATRIMESTRE</t>
    </r>
  </si>
  <si>
    <r>
      <t xml:space="preserve">AVANCE FÍSICO 3ER. </t>
    </r>
    <r>
      <rPr>
        <b/>
        <sz val="9"/>
        <color indexed="8"/>
        <rFont val="Times New Roman"/>
        <family val="1"/>
      </rPr>
      <t xml:space="preserve">CUATRIMESTRE </t>
    </r>
  </si>
  <si>
    <t>Divulgación a través de medios de comunicación  para promover los servicios del Registro de Prestadores de Servicios de Certificación y Firma Electrónica</t>
  </si>
  <si>
    <t xml:space="preserve">Análisis, métodos y procedimientos evaluados y acreditados </t>
  </si>
  <si>
    <t xml:space="preserve">Calibraciones de instrumentos de medición </t>
  </si>
  <si>
    <t xml:space="preserve">Actividades  de capacitación y formación del Centro Nacional de Metrología </t>
  </si>
  <si>
    <t>Información  a  entidades sobre los requisitos, procedimientos, beneficios y obligaciones que conllevan los Decretos 29-89 y 65-89</t>
  </si>
  <si>
    <t xml:space="preserve">PROGRAMA APOYO AL EMPLEO DIGNO EN GUATEMALA </t>
  </si>
  <si>
    <t xml:space="preserve">Generación de competitividad y emprendimiento para jóvenes </t>
  </si>
  <si>
    <t xml:space="preserve">Información y seguimiento a los recursos de cooperación internacional </t>
  </si>
  <si>
    <t xml:space="preserve">Informes cuatrimestrales </t>
  </si>
  <si>
    <t xml:space="preserve">Memoria de Actividades </t>
  </si>
  <si>
    <t xml:space="preserve">Modificaciones de metas físicas </t>
  </si>
  <si>
    <t xml:space="preserve">Negociaciones </t>
  </si>
  <si>
    <t>Potencializar los proyectos de asistencia técnica a Guatemala</t>
  </si>
  <si>
    <t xml:space="preserve">Resolución de procesos de verificación de origen, opiniones técnica y certificación de origen </t>
  </si>
  <si>
    <t>Productores, exportadores e importadores beneficiados con asesorías  técnicas para resolver y prevenir obstáculos al intercambio comercial</t>
  </si>
  <si>
    <t>Emisión de certificados de adjudicación de volumen de contingentes arancelarios y cuotas de exportación</t>
  </si>
  <si>
    <t xml:space="preserve">Análisis de la actividad económica y de comercio exterior de Guatemala </t>
  </si>
  <si>
    <t xml:space="preserve">Empresario de Micro, pequeña y mediana empresa beneficiados con servicios  financieros </t>
  </si>
  <si>
    <t xml:space="preserve">Verificación de certificados de Calibración de instrumentos de medición y pesaje </t>
  </si>
  <si>
    <t xml:space="preserve">EJECUCIÓN PRESUPUESTARIA Y  DE METAS FÍSICAS EN FUNCIÓN DEL PRESUPUESTO VIGENTE </t>
  </si>
  <si>
    <t>Hombres</t>
  </si>
  <si>
    <t>Facilitación de recursos y servicios financieros en forma ágil y oportuna dentro de un marco de fomento adecuado con el fin de generar fuentes de trabajo, contribuir a disminuir los índices de pobreza y como un medio para el desarrollo del país.</t>
  </si>
  <si>
    <t>Aumentar la competitividad, fortalecer, la participación e inserción en el  mercado y facilitar  el acceso hacia nuevos mercados para la microempresa, pequeña y mediana empresa, así como estimular el desarrollo gerencial, empresarial, técnico tecnológico, de organización y comercialización de las empresas del sector.</t>
  </si>
  <si>
    <t>Eventos de difusión que apoyen la mejora del clima de negocios en Guatemala</t>
  </si>
  <si>
    <t xml:space="preserve">                                                             </t>
  </si>
  <si>
    <t>Protección, estímulo y fomento de la actividad intelectual que tienen aplicación en el campo de la industria y el comercio  y en participar a lo relativo a la adquisición, mantenimiento y protección de los signos distintivos, de las patentes de invención, y de los modelos de utilidad de los diseños industriales, así como la protección de los secretos empresariales y disposiciones relacionadas con el combate de la competencia desleal, en cumplimiento de la Ley de Propiedad Industrial y Ley de Derechos de Autor y Derechos Conexos y sus Modificaciones.</t>
  </si>
  <si>
    <t>Diseño y negociación de acuerdos comerciales, impulsar el adecuado proceso de integración económica centroamericana  y promover la expansión de la base exportable, así como coordinar con la Misión de Guatemala ante la Organización Mundial del Comercio -OMC- .</t>
  </si>
  <si>
    <t>Control de la juridicidad  y registro de los actos que realicen y contratos que celebren las personas que intervienen en  los mercados bursátil y extrabursátil. Decreto 34-96  y su Reglamento.</t>
  </si>
  <si>
    <t>Aplicación de procedimientos ágiles, seguros y de forma electrónica a efecto de proporcionar al usuario certeza jurídica en la Inscripción,  modificación, cancelación y ejecución  de Garantía Mobiliaria y consecuentemente la publicidad de las mismas, de acuerdo a la 51-2007 del Congreso de la República.</t>
  </si>
  <si>
    <t xml:space="preserve">Centralizar y coordinar el desarrollo de los programas y proyectos de cooperación internacional, así como la  coordinación de la gestión y negociación de nuevos recursos. </t>
  </si>
  <si>
    <t xml:space="preserve">Servicios de Registro e Inscripción en el Mercado de Valores </t>
  </si>
  <si>
    <t>Personas individuales y jurídicas beneficiadas con  servicios de registro de  patentes comerciales y títulos de propiedad intelectual</t>
  </si>
  <si>
    <t>Identificación y contacto de potenciales inversionistas</t>
  </si>
  <si>
    <t xml:space="preserve">Acompañamiento a las empresas en sus procesos de  reinversión en el país </t>
  </si>
  <si>
    <t xml:space="preserve">Identificar y analizar brechas de competitividad y  proponer acciones que apoyen la reducción de las mismas </t>
  </si>
  <si>
    <t xml:space="preserve">Eventos  que apoyen la mejora de la competitividad en Guatemala </t>
  </si>
  <si>
    <t>Asesoría técnica en trámites o procesos administrativos para el apoyo en el fortalecimiento de la productividad, competitividad y clima de negocios</t>
  </si>
  <si>
    <t xml:space="preserve">Autorización de Complementariedad </t>
  </si>
  <si>
    <t>Administración  de Acuerdos Comerciales Internacionales</t>
  </si>
  <si>
    <t xml:space="preserve"> Servicios de Análisis Económico e Información Estadística del Comercio Exterior</t>
  </si>
  <si>
    <t>Análisis y estadísticas de inteligencia de mercados, industrias, oportunidades y tendencias relevantes</t>
  </si>
  <si>
    <t>Análisis y actualización de información e indicadores económicos y comerciales, como apoyo para la formulación e implementación de estrategias nacionales, políticas públicas y posiciones de intereses para agentes económicos</t>
  </si>
  <si>
    <t>Servicios Financieros a la Micro, Pequeña y Mediana Empresa</t>
  </si>
  <si>
    <t xml:space="preserve">Servicios de Asistencia Técnica en Desarrollo Empresarial a la Micro, Pequeña y Mediana Empresa </t>
  </si>
  <si>
    <t xml:space="preserve">Servicios de apoyo Técnico a Mujeres Microempresarias para el Empoderamiento Económico
 Eje: Seguridad alimentaria,, salud integral y educación para todas y todos.  R: Para el 2019, la brecha entres los grupos de población urbano/rural disminuyó a la mitad en el índice de desarrollo humano.  Línea base  0.174 (2011. Naciones Unidas) Meta 0.087  (2019)
</t>
  </si>
  <si>
    <t xml:space="preserve">Servicios de Apoyo en la Producción y Comercialización Artesanal
Eje: Seguridad alimentaria,, salud integral y educación para todas y todos.  R: Para el 2019, la brecha entre los grupos de población indígena/no indígena se redujo  a la mitad en el índice de desarrollo humano.. -Línea base  0.146 (2011. Naciones Unidas) Meta 0.073  (2019)
</t>
  </si>
  <si>
    <t xml:space="preserve">Consumidores beneficiados con servicios de asistencia, protección y educación sobre sus derechos y obligaciones </t>
  </si>
  <si>
    <t xml:space="preserve">Asesorías en el tema de gestión de Cooperación Internacional </t>
  </si>
  <si>
    <t>Negociación de Acuerdos Comerciales Internacionales y Promoción de la Integración Económica</t>
  </si>
  <si>
    <t>Análisis y estadísticas económicas y comerciales por socio comercial o región, producto, regímenes especiales, sectores o clasificaciones económicas</t>
  </si>
  <si>
    <t>Servicios de Certificación y Firma Electrónica</t>
  </si>
  <si>
    <t>0</t>
  </si>
  <si>
    <t xml:space="preserve">Programa nacional participativo, facilitador de los esfuerzos y alianzas interinstitucionales entre sectores de la sociedad, públicos y privados, para hacer de Guatemala un país competitivo, que genere inversión contribuyendo a su desarrollo integral y sostenible, así como a la prosperidad de sus habitantes. </t>
  </si>
  <si>
    <r>
      <t>PROGRAMA 12: PROMOCIÓN DE LA INVERSIÓN Y COMPETENCIA</t>
    </r>
    <r>
      <rPr>
        <b/>
        <sz val="14"/>
        <color theme="0"/>
        <rFont val="Candara"/>
        <family val="2"/>
      </rPr>
      <t xml:space="preserve"> </t>
    </r>
  </si>
  <si>
    <t>Resoluciones, notificaciones y edictos</t>
  </si>
  <si>
    <t>Para el 2025, se ha incrementado a 251,885 el número de personas individuales y jurídicas beneficiadas con servicios registrales (Línea base de 120,008 en 2019 a 251,885 en 2025)</t>
  </si>
  <si>
    <t>Seguimiento  a potenciales inversionistas,  generación de agendas  hechas a la medida y acompañamiento durante la visita en el País.</t>
  </si>
  <si>
    <t>Actualización de la información sobre la Dirección del Sistema Nacional de la Calidad respecto a normas y procedimientos de evaluación  de la conformidad, calibraciones y reglamentos técnicos.</t>
  </si>
  <si>
    <t xml:space="preserve">Inspección y verificación de instrumentos de medición. </t>
  </si>
  <si>
    <t>Actividades de promoción y divulgación de la Dirección del Sistema Nacional de la Calidad en materia de Congreso de Calidad, Metrología, Acreditación y Normalización.</t>
  </si>
  <si>
    <t>Para el 2025, se ha incrementado a 16,160 los certificados de adjudicación, resoluciones de proceso de verificación y notificaciones en materia comercial, en el marco de la administración de los acuerdos comerciales vigentes (Línea base de 4,324 en 2019 a 16,160 en 2025)</t>
  </si>
  <si>
    <t>Para el 2025, se ha incrementado en 42.0 puntos porcentuales el número de consumidores y usuarios atendidos sobre sus derechos y obligaciones (Línea base de 40,377 en 2019 a 57,432 en 2025)</t>
  </si>
  <si>
    <t>Tasa de crecimiento de la  Inversión Extranjera Directa</t>
  </si>
  <si>
    <t xml:space="preserve">Tasa  de personas individuales y jurídicas beneficiadas con servicios registrales simplificados y automatizados  </t>
  </si>
  <si>
    <t xml:space="preserve"> Número de certificados de adjudicación, resoluciones de proceso de verificación y notificaciones en  materia comercial emitidos.</t>
  </si>
  <si>
    <t xml:space="preserve">Número de  créditos  y servicios de desarrollo empresarial  al sector de la micro, pequeña y mediana empresa, mujeres empresarias y artesanos.  </t>
  </si>
  <si>
    <t>Tasa de atención de los derechos y obligaciones del consumidor.</t>
  </si>
  <si>
    <t xml:space="preserve">SEGUIMIENTO MENSUAL Y CUATRIMESTRAL DE EJECUCIÓN DE METAS FÍSICAS </t>
  </si>
  <si>
    <t xml:space="preserve">  </t>
  </si>
  <si>
    <t xml:space="preserve">UNIDAD DE APOYO AL COMERCIO EXTERIOR Y LA INTEGRACIÓN </t>
  </si>
  <si>
    <t>Cooperativas, fundaciones, asociaciones y bancos con proyectos de asistencia financiera para beneficiar a micros, pequeños y medianos empresarios</t>
  </si>
  <si>
    <t>Jóvenes capacitados y certificados en formación profesional de emprendimiento e innovación de MIPYMES en crecimiento, con énfasis en mujeres y discapacitados</t>
  </si>
  <si>
    <t xml:space="preserve">Instituciones públicas y privadas capacitadas para el fortalecimiento del funcionamiento, estructuración y operativización para crear empleo digno a jóvenes vulnerables </t>
  </si>
  <si>
    <t xml:space="preserve">        MINISTERIO DE ECONOMÍA 
MATRIZ DE PLANIFICACIÓN, POA 2025</t>
  </si>
  <si>
    <t xml:space="preserve">Usuarios internos y externos beneficiados con procesos formativos y asesorías con perspectiva de género, pueblos indígenas y discapacidad </t>
  </si>
  <si>
    <t>EJECUCIÓN MENSUAL, CUATRIMESTRAL Y ANUAL,  POA 2025</t>
  </si>
  <si>
    <t>PRESUPUESTO VIGENTE 2025     EN  Q.</t>
  </si>
  <si>
    <t>PRESUPUESTO VIGENTE 2025  EN  Q.</t>
  </si>
  <si>
    <t xml:space="preserve">Resoluciones y certificado de inscripción correspondiente al primer registro en el mercado de valores </t>
  </si>
  <si>
    <t>Resoluciones y certificado de mantenimiento de vigencia de inscripción de emisiones bursátiles y  extrabursátiles</t>
  </si>
  <si>
    <t>Resoluciones y certificado de mantenimiento de vigencia de agentes</t>
  </si>
  <si>
    <t>Resoluciones y certificado de mantenimiento de vigencia de calificadoras de riesgo</t>
  </si>
  <si>
    <t>Resoluciones y certificado de toma de razón de cumplimiento de miembros de comité</t>
  </si>
  <si>
    <t>Resoluciones y certificado de toma de razón de cumplimiento de personeros y operadores de los agentes</t>
  </si>
  <si>
    <t>Resoluciones y certificado de toma de razón de cumplimiento de presentación de reporte mensual de movimiento de fondos de inversión</t>
  </si>
  <si>
    <t xml:space="preserve">Resoluciones e Informes de razonabilidad de la exactitud y veracidad de los informes y documentos de los agentes de valores </t>
  </si>
  <si>
    <t xml:space="preserve">Resoluciones e Informes de razonabilidad de la exactitud y veracidad de los informes y documentos de los emisores </t>
  </si>
  <si>
    <t xml:space="preserve">Personas individuales y  jurídicas beneficiadas con servicios  de registro e inscripción en el  mercado de valores </t>
  </si>
  <si>
    <t>PRESUPUESTO VIGENTE 2025      EN  Q.</t>
  </si>
  <si>
    <t>Inscripción de Modificación de Garantía Mobiliaria</t>
  </si>
  <si>
    <t xml:space="preserve">Consultas  </t>
  </si>
  <si>
    <t xml:space="preserve">Inscripción  de cancelación   de Garantía Mobiliaria </t>
  </si>
  <si>
    <t xml:space="preserve">Inscripción  de Ejecución de Garantía Mobiliaria </t>
  </si>
  <si>
    <t>Certificaciones de Inscripciones de Garantía Mobiliaria</t>
  </si>
  <si>
    <t xml:space="preserve">Promoción y divulgación de los servicios registrales </t>
  </si>
  <si>
    <t xml:space="preserve">Personas individuales y jurídicas beneficiadas con servicios  de registro garantías mobiliarias </t>
  </si>
  <si>
    <t>PRESUPUESTO VIGENTE 2025    EN  Q.</t>
  </si>
  <si>
    <t xml:space="preserve">Personas individuales y jurídicas beneficiadas con  servicios de registro de  patentes comerciales y títulos de propiedad intelectual </t>
  </si>
  <si>
    <t xml:space="preserve">Personas individuales y jurídicas beneficiadas con patentes de inscripción de sociedades nacionales,  comerciante individual y empresas mercantiles </t>
  </si>
  <si>
    <t>Registro de Sociedades Nacionales y Patentes electrónicas</t>
  </si>
  <si>
    <t>Registro de Empresas Mercantiles y Patentes electrónicas</t>
  </si>
  <si>
    <t>Publicaciones en boletín electrónico del Registro Mercantil</t>
  </si>
  <si>
    <t xml:space="preserve">Personas individuales y jurídicas beneficiadas con títulos de derechos de propiedad intelectual </t>
  </si>
  <si>
    <t>¨Registro</t>
  </si>
  <si>
    <t xml:space="preserve">Emisión de Resoluciones de aprobación para continuar como Prestador de Servicios de Certificación en Guatemala </t>
  </si>
  <si>
    <t xml:space="preserve">Publicación de Resoluciones de aprobación para continuar como Prestador de Servicios de Certificación en Guatemala </t>
  </si>
  <si>
    <t xml:space="preserve">Personas capacitadas en materia de firma electrónica avanzada para instituciones públicas y privadas, así como organizaciones campesinas y grupos étnicos organizados </t>
  </si>
  <si>
    <t xml:space="preserve">Entidades beneficiadas con asistencia técnica para la mejora de la productividad y competitividad 
</t>
  </si>
  <si>
    <t>Entidades asesoradas para el fomento y atracción de inversión y reinversión al país</t>
  </si>
  <si>
    <t xml:space="preserve">Acompañamiento a los inversionistas extranjeros durante el  proceso de instalación de proyectos </t>
  </si>
  <si>
    <t>Divulgación de información durante los eventos de promoción  para la atracción de inversión o reinversión</t>
  </si>
  <si>
    <t xml:space="preserve">Entidades beneficiadas con propuestas de proyectos y / o automatización de sus procesos para la mejora del sector productivo o la mejora en el clima de negocios  </t>
  </si>
  <si>
    <t xml:space="preserve">Elaboración o análisis de propuestas de iniciativas de ley, reglamentos, manuales y/o convenios enfocados a la mejora en el clima de negocios </t>
  </si>
  <si>
    <t xml:space="preserve">Entidades beneficiadas con la implementación de un sistema marco de productividad y competitividad para beneficio de sectores productivos </t>
  </si>
  <si>
    <t xml:space="preserve">Entidades beneficiadas con acciones para la mejora de la productividad, innovación, desarrollo empresarial y/o clima de negocios </t>
  </si>
  <si>
    <t>Entidades nacionales beneficiadas con divulgación de herramientas económicas para el desarrollo empresarial</t>
  </si>
  <si>
    <t xml:space="preserve">Certificados, normas y registros emitidos a entidades privadas, públicas y académicas  para promover la adopción de prácticas de gestión de la calidad </t>
  </si>
  <si>
    <t xml:space="preserve">Certificados de acreditación de laboratorios de ensayo y calibración, análisis clínicos a organismos de inspección y certificación </t>
  </si>
  <si>
    <t>Certificados e informes de calibración para beneficio de entidades públicas privadas y académicas</t>
  </si>
  <si>
    <t xml:space="preserve">Certificados y normas técnicas adoptadas y elaboradas para beneficio de entidades públicas, privadas y académicas </t>
  </si>
  <si>
    <t xml:space="preserve">Personas capacitadas  e informadas  sobre  los beneficios económicos de la competencia en  los mercados y en  la competitividad del país </t>
  </si>
  <si>
    <t>Personas capacitadas  e informadas  sobre  los beneficios económicos de la competencia en  los mercados y en  la competitividad del país</t>
  </si>
  <si>
    <t>Diseño, formulación y elaboración de foros, capacitaciones y conferencias de discusión académica y técnica que amplifiquen el conocimiento sobre las virtudes de la competencia</t>
  </si>
  <si>
    <t>Diseño y formulación de documentos técnicos, revistas, boletines y estudios en materia de competencia, así como la elaboración y exploración de estudios de mercado de bienes y/o servicios, relacionados con la competencia.</t>
  </si>
  <si>
    <t>Inversión Q. Empleo:   empleos</t>
  </si>
  <si>
    <t xml:space="preserve">Empresas importadoras y exportadoras beneficiadas con exoneraciones fiscales por resoluciones de calificación </t>
  </si>
  <si>
    <t xml:space="preserve">Jóvenes capacitados y certificados en formación profesional de emprendimiento e innovación, con énfasis en mujeres y discapacitados </t>
  </si>
  <si>
    <t xml:space="preserve">Empresas importadoras y exportadoras beneficiadas con exoneraciones fiscales por resoluciones de calificación  de la actividad exportadora y maquila </t>
  </si>
  <si>
    <t>Empresas Importadoras y exportadoras beneficiadas  con exoneraciones fiscales por resoluciones de calificación, zonas francas</t>
  </si>
  <si>
    <t xml:space="preserve">Entidades con procesos de verificación y seguimiento para el cumplimiento de las obligaciones por resoluciones de calificación Decretos 29-89 y 65-89 </t>
  </si>
  <si>
    <t>Personas beneficiadas con capacidades técnicas para la formalización laboral e incrementar las oportunidades de acceso a un empleo</t>
  </si>
  <si>
    <t>Acuerdos y  convenios comerciales negociados y  suscritos para beneficio del sector exportador a nivel región.</t>
  </si>
  <si>
    <t>Acuerdos y  convenios comerciales  suscritos a través de las negociaciones comerciales con diferentes países a nivel región.</t>
  </si>
  <si>
    <t>Gestionar y negociar Acuerdos Comerciales y de inversión, para el mejoramiento de las condiciones relacionadas con el comercio y la ampliación y profundización de los acuerdos comerciales vigentes</t>
  </si>
  <si>
    <t>Negociaciones  para Facilitación del Comercio libre movilidad de bienes, servicios e inversión, reconocimiento  de registros, legislación centroamericana, propiedad intelectual y armonización arancelaria</t>
  </si>
  <si>
    <t>Negociaciones de Guatemala, Honduras y El Salvador (Integración Profunda con incorporación de El Salvador)</t>
  </si>
  <si>
    <t xml:space="preserve">Informes de  gestión  en el  marco de los acuerdos ante la Organización Mundial del Comercio (OMC), para beneficio del sector empresarial en el Ginebra, Suiza. </t>
  </si>
  <si>
    <t>Ferias y misiones en beneficio de empresarios exportadores para el desarrollo comercial a nivel región.</t>
  </si>
  <si>
    <t xml:space="preserve">Misiones comerciales </t>
  </si>
  <si>
    <t>Informes sobre estrategias de negocios y atracción de inversiones extranjeras  para beneficio del sector empresarial</t>
  </si>
  <si>
    <t xml:space="preserve">Gestión de acuerdos comerciales internacionales vigentes para Guatemala, a beneficio de productores, exportadores, importadores y la recaudación tributaria </t>
  </si>
  <si>
    <t>Documentos para la prevención y  solución de controversias comerciales internacionales, en el marco de la Organización Mundial del Comercio, Tratados de libre comercio vigentes y la Integración Centroamericana a nivel región.</t>
  </si>
  <si>
    <t>Productores, exportadores e importadores beneficiados con la atención de controversias comerciales y mecanismos de defensa comercial.</t>
  </si>
  <si>
    <t>Administrar las notificaciones en materia comercial para apoyar a los productores nacionales y cumplir con los compromisos contraídos en la OMC.</t>
  </si>
  <si>
    <t xml:space="preserve">Aplicación de acuerdos comerciales internacionales vigentes para Guatemala, a beneficio de productores, exportadores, importadores y la recaudación tributaria </t>
  </si>
  <si>
    <t>Análisis de la actividad económica y de comercio exterior de Guatemala</t>
  </si>
  <si>
    <t>Revisión,  autorización y seguimiento de desembolsos de préstamos otorgados a entidades de servicios financieros al sector de la MIPYME.</t>
  </si>
  <si>
    <t>Supervisión  y seguimiento de la utilización de los fondos del financiamiento otorgados a entidades de servicios financieros ejecución de los préstamos orientados a la asistencia financiera.</t>
  </si>
  <si>
    <t xml:space="preserve">Entes de microfinanzas  sin fines de lucro beneficiados  certeza jurídica para otorgamiento de microcréditos </t>
  </si>
  <si>
    <t xml:space="preserve">Registro por créditos y retornos de capital a micro, pequeños y medianos empresarios beneficiados con servicios financieros </t>
  </si>
  <si>
    <t xml:space="preserve">Empresario de Micro, pequeña y mediana empresa beneficiados con créditos para  desarrollo empresarial y proyectos
</t>
  </si>
  <si>
    <t xml:space="preserve">Empresarios de Micro, pequeña y mediana empresa beneficiados con capacitaciones en servicios de desarrollo empresarial </t>
  </si>
  <si>
    <t xml:space="preserve">Personas beneficiadas con capacitaciones en servicios de desarrollo empresarial a nivel nacional </t>
  </si>
  <si>
    <t xml:space="preserve">Micros, pequeñas y medianas empresas beneficiadas con asistencia técnica en servicios de desarrollo empresarial a nivel nacional </t>
  </si>
  <si>
    <t>Micros, pequeñas y medianas empresas beneficiadas con asesoría en servicios de desarrollo empresarial a nivel nacional</t>
  </si>
  <si>
    <t xml:space="preserve">Micros, pequeñas y medianas empresas beneficiadas con vinculaciones comerciales para el desarrollo económico nacional </t>
  </si>
  <si>
    <t>Organizaciones públicas y privadas de la red nacional de emprendimiento beneficiadas con asistencia técnica en cultura emprendedora</t>
  </si>
  <si>
    <t xml:space="preserve">Mujeres empresarias capacitadas y con asistencia técnica en servicios de desarrollo  empresarial  </t>
  </si>
  <si>
    <t xml:space="preserve">Mujeres empresarias capacitadas en servicios de desarrollo  empresarial </t>
  </si>
  <si>
    <t xml:space="preserve">Mujeres empresarias con asistencia técnica en servicios de desarrollo  empresarial  </t>
  </si>
  <si>
    <t xml:space="preserve">Artesanos beneficiados con capacitación y asistencia técnica para mejorar la calidad, diseño en producción y comercialización artesanal </t>
  </si>
  <si>
    <t xml:space="preserve">Organizaciones de artesanos incorporados al sector formal </t>
  </si>
  <si>
    <t>PRESUPUESTO VIGENTE 2025   EN  Q.</t>
  </si>
  <si>
    <t>Personas capacitadas en servicios financieros</t>
  </si>
  <si>
    <t>Resolución de quejas de distintas actividades económicas</t>
  </si>
  <si>
    <t>Resolución de quejas de servicios financieros</t>
  </si>
  <si>
    <t>Eventos de promoción  de los derechos de los consumidores y obligaciones de los proveedores</t>
  </si>
  <si>
    <t>Feria de Educación Financiera</t>
  </si>
  <si>
    <t>Población orientada a través de la información brindada a los medios de comunicación de las acciones de DIACO.</t>
  </si>
  <si>
    <t xml:space="preserve">Consumidores y usuarios capacitados sobre derechos  y obligaciones  
</t>
  </si>
  <si>
    <t xml:space="preserve">Empresas beneficiadas con resoluciones de autorización de instrumentos de control  </t>
  </si>
  <si>
    <t xml:space="preserve">Consumidores y usuarios beneficiados con servicios de  atención y resolución de quejas </t>
  </si>
  <si>
    <t xml:space="preserve">Consumidores y usuarios informados sobre derechos y obligaciones en materia de consumo   </t>
  </si>
  <si>
    <t xml:space="preserve">Supervisión a proveedores para el cumplimiento de sus obligaciones </t>
  </si>
  <si>
    <t xml:space="preserve">Supervisión a proveedores que comercializan combustibles y gas propano (GLP) en cumplimiento del Plan Centinela  </t>
  </si>
  <si>
    <t>PRESUPUESTO APROBADO MEDIANTE DECRETO 36-2024, LEY DE PRESUPUESTO GENERAL DE INGRESOS Y EGRESOS DEL ESTADO PARA EL EJERCICIO FISCAL 2025</t>
  </si>
  <si>
    <t>Para el 2025, se ha incrementado en US$ 333.55 millones el flujo de inversión extranjera directa al país,  por la mejora por la mejora de la competitividad y  clima de negocios a nivel nacional. (Línea base de US$ 1,261.80 millones en 2021 a US$ 1,595.35 millones en 2025).</t>
  </si>
  <si>
    <t xml:space="preserve">ODS 8:Prioridad 4  Metas Estratégicas de Desarrollo 
</t>
  </si>
  <si>
    <t>Promover el crecimiento económico sostenido, inclusivo y sostenible, el empleo pleno y productivo y el trabajo decente para todos.
Empleo e inversión :MED 6 :En 2032 el crecimiento del PIB real ha sido paulatino y sostenido, hasta alcanzar una tasa no menor del 5.4% a 2032: a) Rango entre 3.4 y 4.4% en el quinquenio 2015-2020 b) Rango entre 4.4 y 5.4% en el quinquenio 2021-2025 . c) No menor del 5.4% en los siguientes años, hasta llegar a 2032.</t>
  </si>
  <si>
    <t xml:space="preserve">ODS 8: Prioridad 4 Metas Estratégicas de Desarrollo 
</t>
  </si>
  <si>
    <t>Se ha reducido la precariedad laboral mediante la generación  de empleos decentes y de calidad: a)subempleo a partir del ultimo dato disponible: 16.9 % b) informalidad : 69.2 %. c) desempleo: 3.2 % d. eliminación el % de trabajadores que viven en pobreza extrema.
Para el 2029, se ha incrementado en 3.7 puntos porcentuales la formalidad del empleo   ( de 32.3% en 2021 a 36.0% en 2029).</t>
  </si>
  <si>
    <t>Promover el crecimiento económico sostenido, inclusivo y sostenible, el empleo pleno y productivo y el trabajo decente para todos. Empleo e inversión : MED 7 :Se ha reducido la precariedad laboral mediante la generación de empleos decentes y de calidad. MED 8 : Para el 2030, elaborar y poner en práctica políticas encaminadas a promover un turismo sostenible que cree puestos de trabajo y promueva la cultura  y los productos locales.</t>
  </si>
  <si>
    <t>Para el 2025,  se ha incrementado en 193,443  los empresarios de MIPYMES,  emprendedores,  mujeres microempresarias y artesanos, beneficiados con acceso a créditos y servicios de desarrollo empresarial .(Línea base 28,484 en 2019 a 193,443, en el 2025).</t>
  </si>
  <si>
    <t>Divulgación de las ofertas de Cooperación internacional  a diferentes dependencias del MINECO</t>
  </si>
  <si>
    <t>Negociación de acuerdos para formalizar los instrumentos de  cooperación internacional</t>
  </si>
  <si>
    <t xml:space="preserve">Propuesta  y/o requerimiento de proyectos de cooperación internacional  a presentar a contrapartes </t>
  </si>
  <si>
    <t>Informes mensuales de avance de programas y proyectos de cooperación internacional vigentes, en ejecución y en fase de cierre</t>
  </si>
  <si>
    <t xml:space="preserve">Capacitación sobre proyectos de cooperación internacional </t>
  </si>
  <si>
    <t xml:space="preserve">Seguimiento de evaluación de cumplimiento de metas físicas </t>
  </si>
  <si>
    <t>Elaboración del  Plan Estratégico Institucional, Multianual y Anual</t>
  </si>
  <si>
    <t xml:space="preserve">Capacitación para fortalecimiento de control interno y la identificación de riesgos </t>
  </si>
  <si>
    <t>2</t>
  </si>
  <si>
    <t xml:space="preserve">Prestadores de servicio de certificación y firma electrónica beneficiadas con certeza jurídica </t>
  </si>
  <si>
    <t>1</t>
  </si>
  <si>
    <t>Atención de reuniones y la emisión de certificados a las personas individuales y jurídicas que se encuentran inscritas en los diferentes contingentes y realizaron su solicitud de certificado para beneficiarse de los contingentes que se encuentran vigentes para el año 2025.</t>
  </si>
  <si>
    <t>3</t>
  </si>
  <si>
    <t>Mujeres</t>
  </si>
  <si>
    <t xml:space="preserve">Hombres </t>
  </si>
  <si>
    <r>
      <rPr>
        <b/>
        <sz val="14"/>
        <color theme="0"/>
        <rFont val="Times New Roman"/>
        <family val="1"/>
      </rPr>
      <t>PROGRAMA 1 :ACTIVIDADES CENTRALES</t>
    </r>
    <r>
      <rPr>
        <b/>
        <sz val="14"/>
        <color theme="0"/>
        <rFont val="Candara"/>
        <family val="2"/>
      </rPr>
      <t xml:space="preserve"> </t>
    </r>
  </si>
  <si>
    <t xml:space="preserve">                                                                               EJECUCIÓN MENSUAL, CUATRIMESTRAL Y ANUAL,  POA 2025</t>
  </si>
  <si>
    <t>5</t>
  </si>
  <si>
    <t>Informe de evaluación del Plan Estratégico Institucional -PEI-</t>
  </si>
  <si>
    <t>Fortalecimientos a entidades de servicios financieros para el cumplimiento de los requisitos establecidos en el  reglamento de operaciones financieras.</t>
  </si>
  <si>
    <t>479</t>
  </si>
  <si>
    <t>242</t>
  </si>
  <si>
    <t>100%</t>
  </si>
  <si>
    <t>Documentación, actualización, simplificación  o automatización de trámites y/o procesos administrativos  que impacte el clima de negocios,  y la competitividad</t>
  </si>
  <si>
    <t>Acciones que fomenten la competitividad en territorios que tengan mayor potencial para el desarrollo económico y  la  el incremento de la productividad</t>
  </si>
  <si>
    <t>Elaboración  de estudios o documentos que fomenten la  competitividad, las capacidades estratégicas y la inclusión financiera  de sectores productivos en Guatemala.</t>
  </si>
  <si>
    <t xml:space="preserve">Atención a potenciales empresas para el desarrollo empresarial  sostenible </t>
  </si>
  <si>
    <t>6</t>
  </si>
  <si>
    <t>826</t>
  </si>
  <si>
    <t>10</t>
  </si>
  <si>
    <t>45</t>
  </si>
  <si>
    <t>4</t>
  </si>
  <si>
    <t>37</t>
  </si>
  <si>
    <t xml:space="preserve">Resoluciones de aprobación cuando una modificación presupuestaria no genera modificación de metas físicas </t>
  </si>
  <si>
    <t>Generación de información  relevante de apoyo regiones, actores y sectores productivos</t>
  </si>
  <si>
    <t>100</t>
  </si>
  <si>
    <t>125</t>
  </si>
  <si>
    <t>19</t>
  </si>
  <si>
    <t>810</t>
  </si>
  <si>
    <t>153</t>
  </si>
  <si>
    <t>496</t>
  </si>
  <si>
    <t>99</t>
  </si>
  <si>
    <t>1,012</t>
  </si>
  <si>
    <t>54</t>
  </si>
  <si>
    <t>17</t>
  </si>
  <si>
    <t>18</t>
  </si>
  <si>
    <t>162</t>
  </si>
  <si>
    <t>24</t>
  </si>
  <si>
    <t>56</t>
  </si>
  <si>
    <t>8</t>
  </si>
  <si>
    <t>1,028</t>
  </si>
  <si>
    <t xml:space="preserve">Personas individuales y jurídicas con registro de inscripción vigente y con vigilancia y fiscalización, en el mercado de valores </t>
  </si>
  <si>
    <t xml:space="preserve">Personas individuales y jurídicas beneficiadas  con capacitación en cultura financiera y bursátil a nivel departamental </t>
  </si>
  <si>
    <t>Personas jurídicas beneficiadas con servicios  de registro garantías mobiliarias</t>
  </si>
  <si>
    <t>Personas individuales beneficiadas con servicios  de registro garantías mobiliarias</t>
  </si>
  <si>
    <r>
      <t xml:space="preserve">AVANCE FÍSICO 2DO. </t>
    </r>
    <r>
      <rPr>
        <b/>
        <sz val="9"/>
        <color theme="0"/>
        <rFont val="Times New Roman"/>
        <family val="1"/>
      </rPr>
      <t>CUATRIMESTRE</t>
    </r>
  </si>
  <si>
    <t>465</t>
  </si>
  <si>
    <t>7</t>
  </si>
  <si>
    <t xml:space="preserve">36% DE EJECUCIÓN
</t>
  </si>
  <si>
    <t>500</t>
  </si>
  <si>
    <t xml:space="preserve">45% DE EJECUCIÓN
</t>
  </si>
  <si>
    <t>11</t>
  </si>
  <si>
    <t>Se realizará una ampliación de metas, ya que se ha cumplido el 100% de la meta prevista, pero la ejecución ha continuado por la demanda de los servicios que se están prestando.</t>
  </si>
  <si>
    <t xml:space="preserve">Acciones para el financiamiento de proyectos productivos para el fomento, innovación y transición tecnológica a MIPYMES, grandes empresas y cooperativas </t>
  </si>
  <si>
    <t xml:space="preserve">Entidades beneficiadas con la promoción de oportunidades de atracción de inversión extranjera directa al país </t>
  </si>
  <si>
    <t>990</t>
  </si>
  <si>
    <t>383</t>
  </si>
  <si>
    <t xml:space="preserve">29% DE EJECUCIÓN
</t>
  </si>
  <si>
    <t>(4) cuestionarios UER1. (22) EUR1 Sustantivos (29) Certificados de Taiwán y (2) Opiniones Técnicas.</t>
  </si>
  <si>
    <t>(5) consultas que fueron atendidas en los temas de verificación de Origen (5) consultas de Contingente y (1) consulta de Medidas Arancelarias y no Arancelarias, las cuales fueron resueltas por el personal de la DACE.</t>
  </si>
  <si>
    <t xml:space="preserve">39% DE EJECUCIÓN </t>
  </si>
  <si>
    <t>La meta estaba asociada a las becas de estudio otorgadas por medio de INTECAP, en abril de 2024 .Actualmente no existe un contrato vigente con fondos de fuente 61 para registrar procesos formativos en el sistema presupuestario. Se tiene planificado ejecutar un  proyecto de formación en emprendimiento y empresarial con fuente 11  a 525 personas , los resultados serán reportados en diciembre de 2025.</t>
  </si>
  <si>
    <t>El PED cuenta como beneficiarios directos al MINECO, MINTRAB y MINEDUC. Así mismo se registrara las instituciones fortalecida con la transferencia de conocimiento . La meta se reportará en el ultimo cuatrimestre del año al concluirse la asistencia técnica prevista.</t>
  </si>
  <si>
    <t>44</t>
  </si>
  <si>
    <t xml:space="preserve">Vinculación Institucional : Plan Nacional de Desarrollo EJE KATÚN 2032: Riqueza para todas y todos y Bienestar para la Gente .
Objetivos de Desarrollo Sostenible -ODS-: ODS 1. Terminar con la pobreza en todas sus formas y en  todas partes. Meta: 1.4:  Para el 2030, asegurar que todos los hombres y mujeres , en particular los pobres y vulnerables tengan iguales derechos a los recursos económicos, nueva tecnología apropiada y servicios financieros , incluyendo las microfinanzas. ODS2 Para el 2030, poner fin al hambre y asegurar el acceso a todas las personas , en particular los pobres y las personas en  situaciones  vulnerables, Meta: 2.1. ODS4: Garantizar una educación inclusiva , equitativa y de c calidad y promover oportunidades de aprendizaje durante toda la vida para todos Meta 4.4 ODS 8: Promover el crecimiento económico sostenido, inclusivo y sostenible, el empleo pleno y productivo y el trabajo decente para todos. Metas: 8.1, 8.2  y  8.3 ;ODS 9. Construir infraestructura resiliente, promover la industrialización inclusiva y sostenible y fomentar la innovación. Meta : 9.3 , ODS 10. Reducir las desigualdad en  y entre los países. Meta.10.2.  ODS 12. Producción y consumo responsables garantizar modalidades de consumo y producción n sostenible , Meta 12.7 , Promover prácticas de adquisición pública que sean sostenibles, de conformidad con las políticas y prioridades nacionales ,  ODS 16  Promover sociedades pacíficas e inclusivas para el desarrollo sostenible, facilitar el acceso a la justicia para todos y crear instituciones eficaces, responsables e inclusivas a todos los niveles, Meta 16.6.2  Proporción de la población que se siente satisfecha con su última experiencia de los servicios públicos. Prioridades Nacionales de Desarrollo: Prioridad 1: Reducción de la pobreza y protección social. MED 1: Para el 2030, potenciar y promover la inclusión social, económica y política de todos, independientemente de su edad , raza etnia , origen, religión o situación económica u otra condición. Prioridad 4: Empleo e inversión . MED 6: En 2032, el crecimiento del PIB real ha sido paulatino y sostenido, hasta alcanzar una tasa no menor del 5.4%: a) Rango entre 3.4 y 4.4% en el quinquenio 2015-2020 b) Rango entre 4.4 y 5.4 en el quinquenio 2021-2025. c) No menor del 5.4 en los siguientes años, hasta llegar a 2032. MED 7: Se ha reducido la precariedad laboral mediante la generación de empleos decentes y de calidad a) Disminución gradual de la tasa de subempleo a partir del último dato disponible: 16.9%, b) Disminución gradual de la informalidad a partir del último dato disponible: 69.2%, c) Disminución gradual de la tasa de desempleo a partir del último dato disponible: 3.2%., d) Eliminación del porcentaje de trabajadores que viven en pobreza extrema. MED 8: Turismo Sostenible: Para 2030, elaborar y poner en práctica políticas encaminadas a promover el turismo sostenible que cree puestos de trabajo y promueva la cultura y los productos locales . 
PGG 204-2028:Principios: La equidad como eje orientador de la función pública, Un país plural , Impulsar la economía humana,Territorializar el desarrollo.  OBJETIVOS:  Rescatar  urgentemente el Estado ante la corrupción ,•Realizar las acciones catalíticas que detonarán los cambios necesarios y Fundar los cimientos del desarrollo sostenible : . EJES ESTRATÉGICOS POR UN PAÍS PARA VIVIR.;EJE ESTRATEGICO 1. HACIA UNA FUNCIÓN PÚBLICA LEGÍTIMA Y EFICAZ: Línea Estratégica de fortalecer mecanismos de Gobierno Abierto y Electrónico para los servicios ´públicos y rendición de cuentas .,•  EJE ESTRÁTEGICO: 2. DESARROLLO SOCIAL: Línea Estratégica: Desarrollo del Emprendimiento y de la Microempresa  y Línea Estratégica: Igualdad de Género y Empoderamiento Económico de las Mujeres: Inclusión Financiera de Mujeres Empresarias. EJE ESTRÁTEGICO: 4. LUCHA CONTRA LA DESNUTRICIÓN Y MALNUTRICIÓN :Línea Estratégica: Fortalecimiento de la Producción Agropecuaria y Generación de Ingresos EJE ESTRÁTEGICO: 6. AVANZANDO PARA CERRAR LA BRECHA DIGITAL CON TECNOLOGÍA E INNOVACIÓN : Línea Estratégica: Inversión y Desarrollo Económico.  Línea Estratégica: Fomento a la Inversión Mediante Certeza Jurídica.
</t>
  </si>
  <si>
    <t>26</t>
  </si>
  <si>
    <t>65</t>
  </si>
  <si>
    <t>84</t>
  </si>
  <si>
    <t>925</t>
  </si>
  <si>
    <t>207</t>
  </si>
  <si>
    <t>538</t>
  </si>
  <si>
    <r>
      <t xml:space="preserve">AVANCE FÍSICO 3ER. </t>
    </r>
    <r>
      <rPr>
        <b/>
        <sz val="9"/>
        <color theme="0"/>
        <rFont val="Times New Roman"/>
        <family val="1"/>
      </rPr>
      <t xml:space="preserve">CUATRIMESTRE </t>
    </r>
  </si>
  <si>
    <t xml:space="preserve">47% DE EJECUCIÓN
</t>
  </si>
  <si>
    <t xml:space="preserve">34% DE EJECUCIÓN
</t>
  </si>
  <si>
    <t xml:space="preserve">46% DE EJECUCIÓN
</t>
  </si>
  <si>
    <t xml:space="preserve">42% DE EJECUCIÓN
</t>
  </si>
  <si>
    <t xml:space="preserve">45% DE EJECUCIÓN
   </t>
  </si>
  <si>
    <t xml:space="preserve">49% DE EJECUCIÓN
</t>
  </si>
  <si>
    <t xml:space="preserve">62% DE EJECUCIÓN
</t>
  </si>
  <si>
    <t xml:space="preserve">58% DE EJECUCIÓN
</t>
  </si>
  <si>
    <t xml:space="preserve">35% DE EJECUCIÓN
</t>
  </si>
  <si>
    <t xml:space="preserve">16% DE EJECUCIÓN
</t>
  </si>
  <si>
    <t xml:space="preserve">41% DE EJECUCIÓN </t>
  </si>
  <si>
    <t xml:space="preserve">34% DE EJECUCIÓN </t>
  </si>
  <si>
    <t xml:space="preserve">61% DE EJECUCIÓN
</t>
  </si>
  <si>
    <t xml:space="preserve">13% DE EJECUCIÓN
</t>
  </si>
  <si>
    <t xml:space="preserve">11% DE EJECUCIÓN
</t>
  </si>
  <si>
    <t xml:space="preserve">21% DE EJECUCIÓN
 </t>
  </si>
  <si>
    <t xml:space="preserve">51% DE EJECUCIÓN
</t>
  </si>
  <si>
    <t xml:space="preserve">65% DE EJECUCIÓN
</t>
  </si>
  <si>
    <t xml:space="preserve">60% DE EJECUCIÓN
</t>
  </si>
  <si>
    <r>
      <t xml:space="preserve">AVANCE FÍSICO 1ER. </t>
    </r>
    <r>
      <rPr>
        <b/>
        <sz val="9"/>
        <color theme="0"/>
        <rFont val="Times New Roman"/>
        <family val="1"/>
      </rPr>
      <t>CUATRIMESTRE</t>
    </r>
    <r>
      <rPr>
        <b/>
        <sz val="9"/>
        <color indexed="8"/>
        <rFont val="Times New Roman"/>
        <family val="1"/>
      </rPr>
      <t xml:space="preserve"> </t>
    </r>
  </si>
  <si>
    <t xml:space="preserve">45% DE EJECUCIÓN </t>
  </si>
  <si>
    <t>En el mes de agosto de 2025, el Órgano de  Género, Pueblos Indígenas y Personas con Capacidades Especiales, se Socializó con trabajadores y prestadores de servicios del Ministerio de Economía  “Procesos de Inclusión Laboral para Personas con Discapacidad”, el cual se llevó a cabo el día 21 de agosto de 2025. Así mismo se llevó a cabo la “Socialización de herramientas técnicas, para vinculación de acciones del Ministerio de Economía, en cumplimiento a mandatos legales nacionales e internacionales sobre derechos de los Pueblos Indígenas”, el cuál se llevó a cabo el día 28 de agosto de 2025.</t>
  </si>
  <si>
    <t xml:space="preserve">50% DE EJECUCIÓN </t>
  </si>
  <si>
    <t xml:space="preserve">53% DE EJECUCIÓN </t>
  </si>
  <si>
    <t>Inversión: Q.106,595,341.47 Empleo: 1,930 empleos</t>
  </si>
  <si>
    <t xml:space="preserve">54% DE EJECUCIÓN </t>
  </si>
  <si>
    <t>1. Perú: En seguimiento al Protocolo al Tratado de Libre Comercio Guatemala-Perú el Ministerio de Relaciones emitió la opinión conjunta y la traslado a la Secretaria General de la Presidencia para revisión y posteriormente la ratificación del instrumento por parte del Ejecutivo.</t>
  </si>
  <si>
    <t xml:space="preserve">1. Se presentó para su revisión en el foro de Directores de Integración una hoja de ruta para el establecimiento de la Unión Aduanera Centroamericana 2015-2024 para realizar un informe a el COMIECO para iniciar el proceso para la creación de una nueva o actualizar la vigente.
2. Se actualizó la normativa regional en materia de Competencia, notificando al COMECO la adopción para Guatemala de una Ley Nacional de Competencia y el nombramiento de la nueva autoridad de Competencia, de acuerdo al Manual de Funcionamiento del Comité Centroamericano de Competencia. 
3. Se celebró reunión de Directores de Integración donde se validó el Procedimiento para la revisión y solución de preocupaciones comerciales, contando con un Procedimiento que los países pueden utilizar para abordar los obstáculos técnicos al comercio que se experimenten para su solución pronta. </t>
  </si>
  <si>
    <t>1. Se validó una propuesta de resolución para aprobar el paso ágil migratorio entre Honduras y El Salvador para su implementación en el puesto fronterizo de Amatillo. 
2. Se validó y desarrollo un plan de capacitación para Guatemala y El Salvador sobre los nuevos flujos de controles aduaneros integrados a implementarse en el Puesto Fronterizo de Pedro de Alvarado - La Hachadura.</t>
  </si>
  <si>
    <t>Participación en:
1. Feria internacional We Make Future (WMF) 2025.</t>
  </si>
  <si>
    <t>Participación en:
1. Webinar "Oportunidades para exportar desde Guatemala al Reino Unido".
2. Lanzamiento EXPOCOMER 202.
3. Foro "Perspectivas para la Modernización del Sistema Portuario Nacional".
4. Foro Innovación 2025.</t>
  </si>
  <si>
    <t xml:space="preserve">19% DE EJECUCIÓN </t>
  </si>
  <si>
    <t>Los 684 préstamos otorgados al 31 de agosto de 2025, se han colocado a través de la Entidades ejecutoras del Fideicomiso apoyadas con recursos del "Fondo de Desarrollo de la Microempresa, Pequeña y Mediana Empresa" administrado por el Banco de los Trabajadores, por un monto de Q.77,622,604.98.
De los 684 préstamos otorgados al 31 de agosto de 2025, 638 corresponden a préstamos a Microempresas por un monto de Q.59,414,485.80.</t>
  </si>
  <si>
    <t>El Reglamento de Requisitos y Condiciones para la Implementación y Administración del Fondo de Innovación Tecnológica ya ha sido aprobado. No obstante, para proceder con la ejecución de la meta física, se informa que actualmente se encuentra en proceso la formalización del convenio interinstitucional con el Crédito Hipotecario Nacional de Guatemala. Se espera contar con los documentos correspondientes el próximo mes.</t>
  </si>
  <si>
    <t xml:space="preserve">49% DE EJECUCIÓN </t>
  </si>
  <si>
    <t xml:space="preserve">Debido al evento de la I Feria de Educación Financiera, se ejecutó el 99.7% de las metas físicas del subproducto, y no se reporta el 100% de ejecución, debido a que hay una modificación presupuestaria en tránsito con disminución de la meta, por lo expuesto, no fue posible el ingreso de todos los beneficiarios reportados por los Departamentos que están vinculados con el subproducto de Consumidores y usuarios capacitados sobre derechos y obligaciones, la información será reportada en el mes de septiembre, derivado de lo anterior, se realizarán las gestiones respectivas para solicitar un incremento de las metas físicas. </t>
  </si>
  <si>
    <t>5116</t>
  </si>
  <si>
    <t xml:space="preserve">65% DE EJECUCIÓN </t>
  </si>
  <si>
    <t xml:space="preserve">45.86% DE EJECUCIÓN </t>
  </si>
  <si>
    <t>Seguimiento a los arbitrajes de inversión que se encuentran activos en contra de la República de Guatemala. Seguimiento al proceso de ejecución de Laudo a favor de la República de Guatemala. Seguimiento a los procesos de contratación de asesores y expertos internacionales. Seguimiento a una consulta promovida por un inversionista extranjero a la República de Guatemala. Reuniones de seguimiento y discusión de estrategia a utilizar de los arbitrajes de inversión. Seguimiento a procesos administrativos de finiquitos y pagos de asesores y expertos.</t>
  </si>
  <si>
    <t>Informe de procedimientos de prácticas desleales de comercio.</t>
  </si>
  <si>
    <t>1,132</t>
  </si>
  <si>
    <t xml:space="preserve">31% DE EJECUCIÓN
</t>
  </si>
  <si>
    <t>12</t>
  </si>
  <si>
    <t xml:space="preserve">Documentos metodológicos con enfoque de género, pueblos indígenas y personas con discapacidad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</si>
</sst>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quot;* #,##0.00_-;\-&quot;Q&quot;* #,##0.00_-;_-&quot;Q&quot;* &quot;-&quot;??_-;_-@_-"/>
    <numFmt numFmtId="43" formatCode="_-* #,##0.00_-;\-* #,##0.00_-;_-* &quot;-&quot;??_-;_-@_-"/>
    <numFmt numFmtId="164" formatCode="_(&quot;Q&quot;* #,##0.00_);_(&quot;Q&quot;* \(#,##0.00\);_(&quot;Q&quot;* &quot;-&quot;??_);_(@_)"/>
  </numFmts>
  <fonts count="52" x14ac:knownFonts="1">
    <font>
      <sz val="11"/>
      <color theme="1"/>
      <name val="Calibri"/>
      <family val="2"/>
      <scheme val="minor"/>
    </font>
    <font>
      <sz val="11"/>
      <color theme="1"/>
      <name val="Calibri"/>
      <family val="2"/>
      <scheme val="minor"/>
    </font>
    <font>
      <b/>
      <sz val="14"/>
      <color theme="0"/>
      <name val="Times New Roman"/>
      <family val="1"/>
    </font>
    <font>
      <sz val="10"/>
      <name val="Times New Roman"/>
      <family val="1"/>
    </font>
    <font>
      <sz val="10"/>
      <name val="Arial"/>
      <family val="2"/>
    </font>
    <font>
      <b/>
      <sz val="10"/>
      <name val="Times New Roman"/>
      <family val="1"/>
    </font>
    <font>
      <b/>
      <sz val="11"/>
      <color theme="1"/>
      <name val="Candara"/>
      <family val="2"/>
    </font>
    <font>
      <sz val="11"/>
      <color theme="1"/>
      <name val="Candara"/>
      <family val="2"/>
    </font>
    <font>
      <b/>
      <sz val="10"/>
      <color indexed="8"/>
      <name val="Times New Roman"/>
      <family val="1"/>
    </font>
    <font>
      <b/>
      <sz val="11"/>
      <color indexed="8"/>
      <name val="Candara"/>
      <family val="2"/>
    </font>
    <font>
      <b/>
      <sz val="12"/>
      <name val="Times New Roman"/>
      <family val="1"/>
    </font>
    <font>
      <b/>
      <sz val="10"/>
      <color theme="1"/>
      <name val="Times New Roman"/>
      <family val="1"/>
    </font>
    <font>
      <sz val="12"/>
      <name val="Arial"/>
      <family val="2"/>
    </font>
    <font>
      <b/>
      <sz val="10"/>
      <color rgb="FF000000"/>
      <name val="Times New Roman"/>
      <family val="1"/>
    </font>
    <font>
      <sz val="10"/>
      <color theme="1"/>
      <name val="Times New Roman"/>
      <family val="1"/>
    </font>
    <font>
      <sz val="10"/>
      <color rgb="FF000000"/>
      <name val="Times New Roman"/>
      <family val="1"/>
    </font>
    <font>
      <sz val="9"/>
      <name val="Times New Roman"/>
      <family val="1"/>
    </font>
    <font>
      <sz val="9"/>
      <color rgb="FF000000"/>
      <name val="Times New Roman"/>
      <family val="1"/>
    </font>
    <font>
      <sz val="9"/>
      <color theme="1"/>
      <name val="Times New Roman"/>
      <family val="1"/>
    </font>
    <font>
      <b/>
      <sz val="9"/>
      <color rgb="FF000000"/>
      <name val="Times New Roman"/>
      <family val="1"/>
    </font>
    <font>
      <b/>
      <sz val="14"/>
      <name val="Times New Roman"/>
      <family val="1"/>
    </font>
    <font>
      <b/>
      <sz val="9"/>
      <name val="Candara"/>
      <family val="2"/>
    </font>
    <font>
      <b/>
      <sz val="10"/>
      <name val="Arial"/>
      <family val="2"/>
    </font>
    <font>
      <b/>
      <sz val="11"/>
      <name val="Times New Roman"/>
      <family val="1"/>
    </font>
    <font>
      <sz val="10"/>
      <color indexed="8"/>
      <name val="Arial"/>
      <family val="2"/>
    </font>
    <font>
      <sz val="8"/>
      <name val="Times New Roman"/>
      <family val="1"/>
    </font>
    <font>
      <b/>
      <sz val="12"/>
      <color theme="0"/>
      <name val="Times New Roman"/>
      <family val="1"/>
    </font>
    <font>
      <b/>
      <sz val="9"/>
      <color indexed="8"/>
      <name val="Times New Roman"/>
      <family val="1"/>
    </font>
    <font>
      <sz val="11"/>
      <color indexed="8"/>
      <name val="Calibri"/>
      <family val="2"/>
    </font>
    <font>
      <sz val="12"/>
      <color indexed="8"/>
      <name val="Arial"/>
      <family val="2"/>
    </font>
    <font>
      <sz val="8"/>
      <color theme="1"/>
      <name val="Times New Roman"/>
      <family val="1"/>
    </font>
    <font>
      <sz val="10"/>
      <color indexed="8"/>
      <name val="Times New Roman"/>
      <family val="1"/>
    </font>
    <font>
      <b/>
      <sz val="11"/>
      <color theme="0"/>
      <name val="Times New Roman"/>
      <family val="1"/>
    </font>
    <font>
      <b/>
      <sz val="14"/>
      <color theme="0"/>
      <name val="Candara"/>
      <family val="2"/>
    </font>
    <font>
      <b/>
      <sz val="10"/>
      <color theme="0"/>
      <name val="Times New Roman"/>
      <family val="1"/>
    </font>
    <font>
      <b/>
      <sz val="10"/>
      <color theme="0"/>
      <name val="Arial"/>
      <family val="2"/>
    </font>
    <font>
      <sz val="10"/>
      <color rgb="FFFF0000"/>
      <name val="Arial"/>
      <family val="2"/>
    </font>
    <font>
      <b/>
      <sz val="11"/>
      <color theme="1"/>
      <name val="Times New Roman"/>
      <family val="1"/>
    </font>
    <font>
      <sz val="11"/>
      <name val="Times New Roman"/>
      <family val="1"/>
    </font>
    <font>
      <b/>
      <sz val="9"/>
      <name val="Times New Roman"/>
      <family val="1"/>
    </font>
    <font>
      <b/>
      <sz val="10"/>
      <color indexed="8"/>
      <name val="Candara"/>
      <family val="2"/>
    </font>
    <font>
      <sz val="7"/>
      <name val="Times New Roman"/>
      <family val="1"/>
    </font>
    <font>
      <sz val="7.5"/>
      <color theme="1"/>
      <name val="Times New Roman"/>
      <family val="1"/>
    </font>
    <font>
      <sz val="7"/>
      <color theme="1"/>
      <name val="Times New Roman"/>
      <family val="1"/>
    </font>
    <font>
      <sz val="7"/>
      <color rgb="FF000000"/>
      <name val="Times New Roman"/>
      <family val="1"/>
    </font>
    <font>
      <b/>
      <sz val="10"/>
      <color theme="0"/>
      <name val="Candara"/>
      <family val="2"/>
    </font>
    <font>
      <b/>
      <sz val="12"/>
      <color theme="1"/>
      <name val="Times New Roman"/>
      <family val="1"/>
    </font>
    <font>
      <b/>
      <sz val="12"/>
      <name val="Candara"/>
      <family val="2"/>
    </font>
    <font>
      <sz val="7.5"/>
      <name val="Times New Roman"/>
      <family val="1"/>
    </font>
    <font>
      <b/>
      <sz val="9"/>
      <color theme="0"/>
      <name val="Times New Roman"/>
      <family val="1"/>
    </font>
    <font>
      <b/>
      <sz val="8"/>
      <color theme="1"/>
      <name val="Times New Roman"/>
      <family val="1"/>
    </font>
    <font>
      <b/>
      <sz val="8"/>
      <name val="Times New Roman"/>
      <family val="1"/>
    </font>
  </fonts>
  <fills count="1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249977111117893"/>
        <bgColor indexed="64"/>
      </patternFill>
    </fill>
    <fill>
      <patternFill patternType="solid">
        <fgColor rgb="FF92D050"/>
        <bgColor indexed="64"/>
      </patternFill>
    </fill>
    <fill>
      <patternFill patternType="solid">
        <fgColor theme="8" tint="-0.249977111117893"/>
        <bgColor indexed="64"/>
      </patternFill>
    </fill>
    <fill>
      <patternFill patternType="solid">
        <fgColor theme="6" tint="0.39997558519241921"/>
        <bgColor indexed="64"/>
      </patternFill>
    </fill>
    <fill>
      <patternFill patternType="solid">
        <fgColor theme="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1B98B1"/>
        <bgColor indexed="64"/>
      </patternFill>
    </fill>
    <fill>
      <patternFill patternType="solid">
        <fgColor theme="4"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indexed="64"/>
      </right>
      <top/>
      <bottom/>
      <diagonal/>
    </border>
  </borders>
  <cellStyleXfs count="13">
    <xf numFmtId="0" fontId="0" fillId="0" borderId="0"/>
    <xf numFmtId="0" fontId="4" fillId="0" borderId="0"/>
    <xf numFmtId="0" fontId="1" fillId="0" borderId="0"/>
    <xf numFmtId="0" fontId="4" fillId="0" borderId="0"/>
    <xf numFmtId="0" fontId="4" fillId="0" borderId="0"/>
    <xf numFmtId="0" fontId="24" fillId="0" borderId="0">
      <alignment vertical="top"/>
    </xf>
    <xf numFmtId="43" fontId="24" fillId="0" borderId="0" applyFont="0" applyFill="0" applyBorder="0" applyAlignment="0" applyProtection="0">
      <alignment vertical="top"/>
    </xf>
    <xf numFmtId="9" fontId="24" fillId="0" borderId="0" applyFont="0" applyFill="0" applyBorder="0" applyAlignment="0" applyProtection="0">
      <alignment vertical="top"/>
    </xf>
    <xf numFmtId="43" fontId="24" fillId="0" borderId="0" applyFont="0" applyFill="0" applyBorder="0" applyAlignment="0" applyProtection="0">
      <alignment vertical="top"/>
    </xf>
    <xf numFmtId="0" fontId="28" fillId="0" borderId="0"/>
    <xf numFmtId="43" fontId="1" fillId="0" borderId="0" applyFont="0" applyFill="0" applyBorder="0" applyAlignment="0" applyProtection="0"/>
    <xf numFmtId="0" fontId="1" fillId="0" borderId="1"/>
    <xf numFmtId="9" fontId="1" fillId="0" borderId="0" applyFont="0" applyFill="0" applyBorder="0" applyAlignment="0" applyProtection="0"/>
  </cellStyleXfs>
  <cellXfs count="554">
    <xf numFmtId="0" fontId="0" fillId="0" borderId="0" xfId="0"/>
    <xf numFmtId="0" fontId="8" fillId="2" borderId="1" xfId="2" applyFont="1" applyFill="1" applyBorder="1" applyAlignment="1">
      <alignment horizontal="center" vertical="center"/>
    </xf>
    <xf numFmtId="0" fontId="9" fillId="2" borderId="1" xfId="2" applyFont="1" applyFill="1" applyBorder="1" applyAlignment="1">
      <alignment horizontal="center" vertical="center"/>
    </xf>
    <xf numFmtId="4" fontId="11" fillId="2" borderId="1" xfId="1" applyNumberFormat="1" applyFont="1" applyFill="1" applyBorder="1" applyAlignment="1">
      <alignment horizontal="center" vertical="top" wrapText="1"/>
    </xf>
    <xf numFmtId="0" fontId="7" fillId="2" borderId="1" xfId="1" applyFont="1" applyFill="1" applyBorder="1" applyAlignment="1">
      <alignment horizontal="center" vertical="center" wrapText="1"/>
    </xf>
    <xf numFmtId="0" fontId="5" fillId="2" borderId="1" xfId="0" applyFont="1" applyFill="1" applyBorder="1" applyAlignment="1">
      <alignment horizontal="center" vertical="top"/>
    </xf>
    <xf numFmtId="0" fontId="14" fillId="2" borderId="1" xfId="1" applyFont="1" applyFill="1" applyBorder="1" applyAlignment="1">
      <alignment horizontal="center" vertical="top" wrapText="1"/>
    </xf>
    <xf numFmtId="0" fontId="11" fillId="2" borderId="1" xfId="1" applyFont="1" applyFill="1" applyBorder="1" applyAlignment="1">
      <alignment horizontal="center" vertical="top" wrapText="1"/>
    </xf>
    <xf numFmtId="0" fontId="3" fillId="2" borderId="1" xfId="0" applyFont="1" applyFill="1" applyBorder="1" applyAlignment="1">
      <alignment horizontal="center" vertical="top"/>
    </xf>
    <xf numFmtId="4" fontId="14" fillId="2" borderId="1" xfId="1" applyNumberFormat="1" applyFont="1" applyFill="1" applyBorder="1" applyAlignment="1">
      <alignment horizontal="center" vertical="top" wrapText="1"/>
    </xf>
    <xf numFmtId="3" fontId="11" fillId="2" borderId="1" xfId="1" applyNumberFormat="1" applyFont="1" applyFill="1" applyBorder="1" applyAlignment="1">
      <alignment horizontal="center" vertical="top" wrapText="1"/>
    </xf>
    <xf numFmtId="0" fontId="3" fillId="2" borderId="1" xfId="3" applyFont="1" applyFill="1" applyBorder="1" applyAlignment="1">
      <alignment horizontal="center" vertical="top" wrapText="1"/>
    </xf>
    <xf numFmtId="4" fontId="14" fillId="2" borderId="1" xfId="1" applyNumberFormat="1" applyFont="1" applyFill="1" applyBorder="1" applyAlignment="1">
      <alignment vertical="top" wrapText="1"/>
    </xf>
    <xf numFmtId="0" fontId="13" fillId="2" borderId="2" xfId="0" applyFont="1" applyFill="1" applyBorder="1" applyAlignment="1">
      <alignment horizontal="center" vertical="top" wrapText="1"/>
    </xf>
    <xf numFmtId="0" fontId="3" fillId="2" borderId="1" xfId="0" applyFont="1" applyFill="1" applyBorder="1" applyAlignment="1">
      <alignment horizontal="center" vertical="top" wrapText="1"/>
    </xf>
    <xf numFmtId="4" fontId="5" fillId="2" borderId="1" xfId="1" applyNumberFormat="1" applyFont="1" applyFill="1" applyBorder="1" applyAlignment="1">
      <alignment horizontal="center" vertical="top" wrapText="1"/>
    </xf>
    <xf numFmtId="0" fontId="3" fillId="2" borderId="1" xfId="4" applyFont="1" applyFill="1" applyBorder="1" applyAlignment="1">
      <alignment horizontal="justify" vertical="top" wrapText="1"/>
    </xf>
    <xf numFmtId="164" fontId="7" fillId="2" borderId="1" xfId="1" applyNumberFormat="1" applyFont="1" applyFill="1" applyBorder="1" applyAlignment="1">
      <alignment vertical="center" wrapText="1"/>
    </xf>
    <xf numFmtId="3" fontId="3" fillId="2" borderId="1" xfId="4" applyNumberFormat="1" applyFont="1" applyFill="1" applyBorder="1" applyAlignment="1">
      <alignment horizontal="center" vertical="top" wrapText="1"/>
    </xf>
    <xf numFmtId="0" fontId="15" fillId="2" borderId="1" xfId="0" applyFont="1" applyFill="1" applyBorder="1" applyAlignment="1">
      <alignment horizontal="center" vertical="top" wrapText="1"/>
    </xf>
    <xf numFmtId="0" fontId="17" fillId="2" borderId="1" xfId="0" applyFont="1" applyFill="1" applyBorder="1" applyAlignment="1">
      <alignment horizontal="center" vertical="top" wrapText="1"/>
    </xf>
    <xf numFmtId="0" fontId="3" fillId="2" borderId="1" xfId="4" applyFont="1" applyFill="1" applyBorder="1" applyAlignment="1">
      <alignment vertical="top" wrapText="1"/>
    </xf>
    <xf numFmtId="0" fontId="7" fillId="2" borderId="1" xfId="1" applyFont="1" applyFill="1" applyBorder="1" applyAlignment="1">
      <alignment vertical="center" wrapText="1"/>
    </xf>
    <xf numFmtId="0" fontId="5" fillId="2" borderId="1" xfId="4" applyFont="1" applyFill="1" applyBorder="1" applyAlignment="1">
      <alignment horizontal="center" vertical="top" wrapText="1"/>
    </xf>
    <xf numFmtId="0" fontId="3" fillId="2" borderId="7" xfId="0" applyFont="1" applyFill="1" applyBorder="1" applyAlignment="1">
      <alignment horizontal="center" vertical="top"/>
    </xf>
    <xf numFmtId="0" fontId="5" fillId="2" borderId="1" xfId="4" applyFont="1" applyFill="1" applyBorder="1" applyAlignment="1">
      <alignment vertical="top" wrapText="1"/>
    </xf>
    <xf numFmtId="4" fontId="5" fillId="2" borderId="4" xfId="0" applyNumberFormat="1" applyFont="1" applyFill="1" applyBorder="1" applyAlignment="1">
      <alignment horizontal="center" vertical="top" wrapText="1"/>
    </xf>
    <xf numFmtId="4" fontId="11" fillId="2" borderId="2" xfId="1" applyNumberFormat="1" applyFont="1" applyFill="1" applyBorder="1" applyAlignment="1">
      <alignment horizontal="center" vertical="top" wrapText="1"/>
    </xf>
    <xf numFmtId="3" fontId="14" fillId="2" borderId="1" xfId="1" applyNumberFormat="1" applyFont="1" applyFill="1" applyBorder="1" applyAlignment="1">
      <alignment vertical="top" wrapText="1"/>
    </xf>
    <xf numFmtId="0" fontId="3" fillId="2" borderId="1" xfId="4" applyFont="1" applyFill="1" applyBorder="1" applyAlignment="1">
      <alignment horizontal="justify" vertical="center" wrapText="1"/>
    </xf>
    <xf numFmtId="0" fontId="19"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3" fillId="2" borderId="4" xfId="0" applyFont="1" applyFill="1" applyBorder="1" applyAlignment="1">
      <alignment horizontal="center" vertical="top"/>
    </xf>
    <xf numFmtId="4" fontId="13" fillId="2" borderId="4" xfId="0" applyNumberFormat="1" applyFont="1" applyFill="1" applyBorder="1" applyAlignment="1">
      <alignment horizontal="center" vertical="top" wrapText="1"/>
    </xf>
    <xf numFmtId="4" fontId="5" fillId="2" borderId="1" xfId="0" applyNumberFormat="1" applyFont="1" applyFill="1" applyBorder="1" applyAlignment="1">
      <alignment horizontal="center" vertical="top" wrapText="1"/>
    </xf>
    <xf numFmtId="0" fontId="8" fillId="2" borderId="1" xfId="2" applyFont="1" applyFill="1" applyBorder="1" applyAlignment="1">
      <alignment horizontal="center" vertical="center" wrapText="1"/>
    </xf>
    <xf numFmtId="0" fontId="6" fillId="2" borderId="1" xfId="1" applyFont="1" applyFill="1" applyBorder="1" applyAlignment="1">
      <alignment horizontal="center" vertical="center" wrapText="1"/>
    </xf>
    <xf numFmtId="0" fontId="21" fillId="2" borderId="1" xfId="1" applyFont="1" applyFill="1" applyBorder="1" applyAlignment="1">
      <alignment horizontal="center" vertical="center" wrapText="1"/>
    </xf>
    <xf numFmtId="0" fontId="10" fillId="2" borderId="1" xfId="0" applyFont="1" applyFill="1" applyBorder="1" applyAlignment="1">
      <alignment horizontal="center" vertical="top" wrapText="1"/>
    </xf>
    <xf numFmtId="0" fontId="14" fillId="2" borderId="2" xfId="1" applyFont="1" applyFill="1" applyBorder="1" applyAlignment="1">
      <alignment horizontal="center" vertical="top" wrapText="1"/>
    </xf>
    <xf numFmtId="0" fontId="10" fillId="2" borderId="1" xfId="0" applyFont="1" applyFill="1" applyBorder="1" applyAlignment="1">
      <alignment vertical="top" wrapText="1"/>
    </xf>
    <xf numFmtId="0" fontId="3" fillId="2" borderId="1" xfId="3" applyFont="1" applyFill="1" applyBorder="1" applyAlignment="1">
      <alignment horizontal="justify" vertical="top" wrapText="1"/>
    </xf>
    <xf numFmtId="9" fontId="11" fillId="2" borderId="1" xfId="1" applyNumberFormat="1" applyFont="1" applyFill="1" applyBorder="1" applyAlignment="1">
      <alignment horizontal="center" vertical="top" wrapText="1"/>
    </xf>
    <xf numFmtId="3" fontId="15" fillId="2" borderId="1" xfId="0" applyNumberFormat="1" applyFont="1" applyFill="1" applyBorder="1" applyAlignment="1">
      <alignment horizontal="center" vertical="top" wrapText="1"/>
    </xf>
    <xf numFmtId="0" fontId="5" fillId="2" borderId="4" xfId="0" applyFont="1" applyFill="1" applyBorder="1" applyAlignment="1">
      <alignment horizontal="justify" vertical="top" wrapText="1"/>
    </xf>
    <xf numFmtId="0" fontId="3" fillId="2" borderId="4" xfId="0" applyFont="1" applyFill="1" applyBorder="1" applyAlignment="1">
      <alignment horizontal="justify" vertical="top"/>
    </xf>
    <xf numFmtId="0" fontId="3" fillId="2" borderId="4" xfId="3" applyNumberFormat="1" applyFont="1" applyFill="1" applyBorder="1" applyAlignment="1">
      <alignment horizontal="justify" vertical="top" wrapText="1"/>
    </xf>
    <xf numFmtId="4" fontId="14" fillId="2" borderId="1" xfId="1" applyNumberFormat="1" applyFont="1" applyFill="1" applyBorder="1" applyAlignment="1">
      <alignment horizontal="justify" vertical="top" wrapText="1"/>
    </xf>
    <xf numFmtId="3" fontId="11" fillId="2" borderId="1" xfId="0" applyNumberFormat="1" applyFont="1" applyFill="1" applyBorder="1" applyAlignment="1">
      <alignment horizontal="center" vertical="top"/>
    </xf>
    <xf numFmtId="0" fontId="4" fillId="0" borderId="1" xfId="1" applyFont="1" applyBorder="1"/>
    <xf numFmtId="4" fontId="21" fillId="2" borderId="1" xfId="1" applyNumberFormat="1" applyFont="1" applyFill="1" applyBorder="1" applyAlignment="1">
      <alignment horizontal="center" vertical="center" wrapText="1"/>
    </xf>
    <xf numFmtId="0" fontId="15" fillId="2" borderId="1" xfId="0" applyFont="1" applyFill="1" applyBorder="1" applyAlignment="1">
      <alignment vertical="top" wrapText="1"/>
    </xf>
    <xf numFmtId="3" fontId="7" fillId="2" borderId="1" xfId="1" applyNumberFormat="1" applyFont="1" applyFill="1" applyBorder="1" applyAlignment="1">
      <alignment horizontal="center" vertical="center" wrapText="1"/>
    </xf>
    <xf numFmtId="0" fontId="15" fillId="2" borderId="7" xfId="0" applyFont="1" applyFill="1" applyBorder="1" applyAlignment="1">
      <alignment horizontal="justify" vertical="top" wrapText="1"/>
    </xf>
    <xf numFmtId="3" fontId="3" fillId="2" borderId="4" xfId="0" applyNumberFormat="1" applyFont="1" applyFill="1" applyBorder="1" applyAlignment="1">
      <alignment horizontal="center" vertical="top"/>
    </xf>
    <xf numFmtId="4" fontId="3" fillId="2" borderId="1" xfId="1" applyNumberFormat="1" applyFont="1" applyFill="1" applyBorder="1" applyAlignment="1">
      <alignment horizontal="center" vertical="top" wrapText="1"/>
    </xf>
    <xf numFmtId="3" fontId="23" fillId="6" borderId="1" xfId="1" applyNumberFormat="1" applyFont="1" applyFill="1" applyBorder="1" applyAlignment="1">
      <alignment horizontal="center" vertical="top" wrapText="1"/>
    </xf>
    <xf numFmtId="4" fontId="3" fillId="2" borderId="1" xfId="1" applyNumberFormat="1" applyFont="1" applyFill="1" applyBorder="1" applyAlignment="1">
      <alignment vertical="top" wrapText="1"/>
    </xf>
    <xf numFmtId="0" fontId="3" fillId="2" borderId="1" xfId="1" applyFont="1" applyFill="1" applyBorder="1" applyAlignment="1">
      <alignment horizontal="center" vertical="top" wrapText="1"/>
    </xf>
    <xf numFmtId="3" fontId="3" fillId="2" borderId="1" xfId="1" applyNumberFormat="1" applyFont="1" applyFill="1" applyBorder="1" applyAlignment="1">
      <alignment horizontal="center" vertical="top" wrapText="1"/>
    </xf>
    <xf numFmtId="0" fontId="3" fillId="2" borderId="1" xfId="0" applyFont="1" applyFill="1" applyBorder="1" applyAlignment="1">
      <alignment horizontal="justify" vertical="top" wrapText="1"/>
    </xf>
    <xf numFmtId="3" fontId="15" fillId="2" borderId="1" xfId="0" applyNumberFormat="1" applyFont="1" applyFill="1" applyBorder="1" applyAlignment="1">
      <alignment horizontal="justify" vertical="top" wrapText="1"/>
    </xf>
    <xf numFmtId="0" fontId="22" fillId="9" borderId="1" xfId="1" applyFont="1" applyFill="1" applyBorder="1" applyAlignment="1">
      <alignment horizontal="center" vertical="top" wrapText="1"/>
    </xf>
    <xf numFmtId="0" fontId="22" fillId="9" borderId="1" xfId="1" applyFont="1" applyFill="1" applyBorder="1" applyAlignment="1">
      <alignment horizontal="center" vertical="center" wrapText="1"/>
    </xf>
    <xf numFmtId="3" fontId="22" fillId="9" borderId="1" xfId="1" applyNumberFormat="1" applyFont="1" applyFill="1" applyBorder="1" applyAlignment="1">
      <alignment horizontal="center" vertical="center" wrapText="1"/>
    </xf>
    <xf numFmtId="9" fontId="3" fillId="2" borderId="1" xfId="1" applyNumberFormat="1" applyFont="1" applyFill="1" applyBorder="1" applyAlignment="1">
      <alignment horizontal="center" vertical="top" wrapText="1"/>
    </xf>
    <xf numFmtId="0" fontId="15" fillId="2" borderId="1" xfId="0" applyFont="1" applyFill="1" applyBorder="1" applyAlignment="1">
      <alignment horizontal="justify" vertical="top" wrapText="1"/>
    </xf>
    <xf numFmtId="3" fontId="14" fillId="2" borderId="1" xfId="1" applyNumberFormat="1" applyFont="1" applyFill="1" applyBorder="1" applyAlignment="1">
      <alignment horizontal="center" vertical="top" wrapText="1"/>
    </xf>
    <xf numFmtId="3" fontId="3" fillId="2" borderId="1" xfId="0" applyNumberFormat="1" applyFont="1" applyFill="1" applyBorder="1" applyAlignment="1">
      <alignment horizontal="center" vertical="top"/>
    </xf>
    <xf numFmtId="3" fontId="5" fillId="2" borderId="1" xfId="0" applyNumberFormat="1" applyFont="1" applyFill="1" applyBorder="1" applyAlignment="1">
      <alignment horizontal="center" vertical="top"/>
    </xf>
    <xf numFmtId="9" fontId="14" fillId="2" borderId="1" xfId="1" applyNumberFormat="1" applyFont="1" applyFill="1" applyBorder="1" applyAlignment="1">
      <alignment horizontal="center" vertical="top" wrapText="1"/>
    </xf>
    <xf numFmtId="0" fontId="13" fillId="2" borderId="11" xfId="0" applyFont="1" applyFill="1" applyBorder="1" applyAlignment="1">
      <alignment horizontal="justify" vertical="top" wrapText="1"/>
    </xf>
    <xf numFmtId="0" fontId="13" fillId="2" borderId="12" xfId="0" applyFont="1" applyFill="1" applyBorder="1" applyAlignment="1">
      <alignment horizontal="justify" vertical="top" wrapText="1"/>
    </xf>
    <xf numFmtId="0" fontId="13" fillId="2" borderId="13" xfId="0" applyFont="1" applyFill="1" applyBorder="1" applyAlignment="1">
      <alignment horizontal="justify" vertical="top" wrapText="1"/>
    </xf>
    <xf numFmtId="0" fontId="22" fillId="9" borderId="0" xfId="1" applyFont="1" applyFill="1" applyBorder="1" applyAlignment="1">
      <alignment horizontal="center" vertical="top" wrapText="1"/>
    </xf>
    <xf numFmtId="0" fontId="15" fillId="2" borderId="1" xfId="0" applyFont="1" applyFill="1" applyBorder="1" applyAlignment="1">
      <alignment horizontal="left" vertical="top" wrapText="1"/>
    </xf>
    <xf numFmtId="0" fontId="3" fillId="2" borderId="1" xfId="4" applyFont="1" applyFill="1" applyBorder="1" applyAlignment="1">
      <alignment horizontal="center" vertical="top" wrapText="1"/>
    </xf>
    <xf numFmtId="0" fontId="3" fillId="2" borderId="7" xfId="4" applyFont="1" applyFill="1" applyBorder="1" applyAlignment="1">
      <alignment horizontal="center" vertical="top" wrapText="1"/>
    </xf>
    <xf numFmtId="0" fontId="3" fillId="2" borderId="2" xfId="0" applyFont="1" applyFill="1" applyBorder="1" applyAlignment="1">
      <alignment horizontal="center" vertical="top"/>
    </xf>
    <xf numFmtId="0" fontId="3" fillId="2" borderId="8" xfId="0" applyFont="1" applyFill="1" applyBorder="1" applyAlignment="1">
      <alignment horizontal="center" vertical="top"/>
    </xf>
    <xf numFmtId="0" fontId="9" fillId="2" borderId="1" xfId="9" applyFont="1" applyFill="1" applyBorder="1" applyAlignment="1">
      <alignment vertical="center" textRotation="90" wrapText="1"/>
    </xf>
    <xf numFmtId="0" fontId="22" fillId="9" borderId="0" xfId="1" applyFont="1" applyFill="1" applyBorder="1" applyAlignment="1">
      <alignment horizontal="center" vertical="center" wrapText="1"/>
    </xf>
    <xf numFmtId="0" fontId="9" fillId="2" borderId="13" xfId="9" applyFont="1" applyFill="1" applyBorder="1" applyAlignment="1">
      <alignment vertical="center" textRotation="90" wrapText="1"/>
    </xf>
    <xf numFmtId="3" fontId="14" fillId="2" borderId="2" xfId="1" applyNumberFormat="1" applyFont="1" applyFill="1" applyBorder="1" applyAlignment="1">
      <alignment horizontal="center" vertical="top" wrapText="1"/>
    </xf>
    <xf numFmtId="43" fontId="3" fillId="2" borderId="1" xfId="10" applyFont="1" applyFill="1" applyBorder="1" applyAlignment="1">
      <alignment horizontal="justify" vertical="top" wrapText="1"/>
    </xf>
    <xf numFmtId="0" fontId="8" fillId="2" borderId="7" xfId="2" applyFont="1" applyFill="1" applyBorder="1" applyAlignment="1">
      <alignment horizontal="center" vertical="center"/>
    </xf>
    <xf numFmtId="0" fontId="8" fillId="2" borderId="7" xfId="2" applyFont="1" applyFill="1" applyBorder="1" applyAlignment="1">
      <alignment horizontal="center" vertical="center" wrapText="1"/>
    </xf>
    <xf numFmtId="0" fontId="9" fillId="2" borderId="7" xfId="2" applyFont="1" applyFill="1" applyBorder="1" applyAlignment="1">
      <alignment horizontal="center" vertical="center"/>
    </xf>
    <xf numFmtId="3" fontId="13" fillId="2" borderId="2" xfId="0" applyNumberFormat="1" applyFont="1" applyFill="1" applyBorder="1" applyAlignment="1">
      <alignment horizontal="center" vertical="top" wrapText="1"/>
    </xf>
    <xf numFmtId="0" fontId="29" fillId="2" borderId="1" xfId="9" applyFont="1" applyFill="1" applyBorder="1" applyAlignment="1"/>
    <xf numFmtId="0" fontId="5" fillId="8" borderId="1" xfId="1" applyFont="1" applyFill="1" applyBorder="1" applyAlignment="1">
      <alignment vertical="center" wrapText="1"/>
    </xf>
    <xf numFmtId="0" fontId="14" fillId="2" borderId="10" xfId="1" applyFont="1" applyFill="1" applyBorder="1" applyAlignment="1">
      <alignment horizontal="center" vertical="top" wrapText="1"/>
    </xf>
    <xf numFmtId="0" fontId="14" fillId="2" borderId="4" xfId="1" applyFont="1" applyFill="1" applyBorder="1" applyAlignment="1">
      <alignment horizontal="center" vertical="top" wrapText="1"/>
    </xf>
    <xf numFmtId="0" fontId="22" fillId="2" borderId="1" xfId="1" applyFont="1" applyFill="1" applyBorder="1" applyAlignment="1">
      <alignment vertical="top" wrapText="1"/>
    </xf>
    <xf numFmtId="4" fontId="30" fillId="2" borderId="1" xfId="1" applyNumberFormat="1" applyFont="1" applyFill="1" applyBorder="1" applyAlignment="1">
      <alignment horizontal="justify" vertical="top" wrapText="1"/>
    </xf>
    <xf numFmtId="3" fontId="5" fillId="2" borderId="1" xfId="1" applyNumberFormat="1" applyFont="1" applyFill="1" applyBorder="1" applyAlignment="1">
      <alignment horizontal="center" vertical="top" wrapText="1"/>
    </xf>
    <xf numFmtId="4" fontId="30" fillId="2" borderId="1" xfId="1" applyNumberFormat="1" applyFont="1" applyFill="1" applyBorder="1" applyAlignment="1">
      <alignment vertical="top" wrapText="1"/>
    </xf>
    <xf numFmtId="3" fontId="13" fillId="2" borderId="4" xfId="0" applyNumberFormat="1" applyFont="1" applyFill="1" applyBorder="1" applyAlignment="1">
      <alignment horizontal="center" vertical="top" wrapText="1"/>
    </xf>
    <xf numFmtId="3" fontId="5" fillId="2" borderId="1" xfId="4" applyNumberFormat="1" applyFont="1" applyFill="1" applyBorder="1" applyAlignment="1">
      <alignment horizontal="center" vertical="top" wrapText="1"/>
    </xf>
    <xf numFmtId="3" fontId="14" fillId="2" borderId="1" xfId="0" applyNumberFormat="1" applyFont="1" applyFill="1" applyBorder="1" applyAlignment="1">
      <alignment horizontal="center" vertical="top"/>
    </xf>
    <xf numFmtId="0" fontId="34" fillId="8" borderId="1" xfId="1" applyFont="1" applyFill="1" applyBorder="1" applyAlignment="1">
      <alignment vertical="center" wrapText="1"/>
    </xf>
    <xf numFmtId="0" fontId="20" fillId="10" borderId="1" xfId="1" applyFont="1" applyFill="1" applyBorder="1" applyAlignment="1">
      <alignment horizontal="left" vertical="center" wrapText="1"/>
    </xf>
    <xf numFmtId="0" fontId="11" fillId="2" borderId="2" xfId="1" applyFont="1" applyFill="1" applyBorder="1" applyAlignment="1">
      <alignment horizontal="center" vertical="top" wrapText="1"/>
    </xf>
    <xf numFmtId="0" fontId="3" fillId="2" borderId="5" xfId="4" applyFont="1" applyFill="1" applyBorder="1" applyAlignment="1">
      <alignment horizontal="justify" vertical="top" wrapText="1"/>
    </xf>
    <xf numFmtId="0" fontId="15" fillId="2" borderId="2" xfId="0" applyFont="1" applyFill="1" applyBorder="1" applyAlignment="1">
      <alignment vertical="top" wrapText="1"/>
    </xf>
    <xf numFmtId="4" fontId="23" fillId="6" borderId="1" xfId="1" applyNumberFormat="1" applyFont="1" applyFill="1" applyBorder="1" applyAlignment="1">
      <alignment horizontal="center" vertical="top" wrapText="1"/>
    </xf>
    <xf numFmtId="9" fontId="23" fillId="6" borderId="1" xfId="1" applyNumberFormat="1" applyFont="1" applyFill="1" applyBorder="1" applyAlignment="1">
      <alignment horizontal="center" vertical="top" wrapText="1"/>
    </xf>
    <xf numFmtId="0" fontId="14" fillId="2" borderId="1" xfId="10" applyNumberFormat="1" applyFont="1" applyFill="1" applyBorder="1" applyAlignment="1">
      <alignment horizontal="center" vertical="top"/>
    </xf>
    <xf numFmtId="3" fontId="23" fillId="6" borderId="1" xfId="1" applyNumberFormat="1" applyFont="1" applyFill="1" applyBorder="1" applyAlignment="1">
      <alignment horizontal="center" vertical="center" wrapText="1"/>
    </xf>
    <xf numFmtId="49" fontId="14" fillId="2" borderId="1" xfId="1" applyNumberFormat="1" applyFont="1" applyFill="1" applyBorder="1" applyAlignment="1">
      <alignment horizontal="center" vertical="top" wrapText="1"/>
    </xf>
    <xf numFmtId="49" fontId="11" fillId="2" borderId="1" xfId="1" applyNumberFormat="1" applyFont="1" applyFill="1" applyBorder="1" applyAlignment="1">
      <alignment horizontal="center" vertical="top" wrapText="1"/>
    </xf>
    <xf numFmtId="49" fontId="3" fillId="2" borderId="1" xfId="0" applyNumberFormat="1" applyFont="1" applyFill="1" applyBorder="1" applyAlignment="1">
      <alignment horizontal="center" vertical="top" wrapText="1"/>
    </xf>
    <xf numFmtId="3" fontId="3" fillId="2" borderId="1" xfId="0" applyNumberFormat="1" applyFont="1" applyFill="1" applyBorder="1" applyAlignment="1">
      <alignment horizontal="center" vertical="top" wrapText="1"/>
    </xf>
    <xf numFmtId="49" fontId="3" fillId="2" borderId="1" xfId="0" applyNumberFormat="1" applyFont="1" applyFill="1" applyBorder="1" applyAlignment="1">
      <alignment horizontal="center" vertical="top"/>
    </xf>
    <xf numFmtId="49" fontId="5" fillId="2" borderId="1" xfId="0" applyNumberFormat="1" applyFont="1" applyFill="1" applyBorder="1" applyAlignment="1">
      <alignment horizontal="center" vertical="top"/>
    </xf>
    <xf numFmtId="49" fontId="5" fillId="2" borderId="1" xfId="0" applyNumberFormat="1" applyFont="1" applyFill="1" applyBorder="1" applyAlignment="1">
      <alignment horizontal="center" vertical="top" wrapText="1"/>
    </xf>
    <xf numFmtId="49" fontId="3" fillId="2" borderId="1" xfId="4" applyNumberFormat="1" applyFont="1" applyFill="1" applyBorder="1" applyAlignment="1">
      <alignment horizontal="center" vertical="top" wrapText="1"/>
    </xf>
    <xf numFmtId="0" fontId="5" fillId="2" borderId="1" xfId="1" applyFont="1" applyFill="1" applyBorder="1" applyAlignment="1">
      <alignment horizontal="center" vertical="top" wrapText="1"/>
    </xf>
    <xf numFmtId="0" fontId="15" fillId="2" borderId="4" xfId="0" applyFont="1" applyFill="1" applyBorder="1" applyAlignment="1">
      <alignment horizontal="justify" vertical="top" wrapText="1"/>
    </xf>
    <xf numFmtId="4" fontId="11" fillId="6" borderId="1" xfId="1" applyNumberFormat="1" applyFont="1" applyFill="1" applyBorder="1" applyAlignment="1">
      <alignment horizontal="center" vertical="top" wrapText="1"/>
    </xf>
    <xf numFmtId="4" fontId="14" fillId="2" borderId="4" xfId="1" applyNumberFormat="1" applyFont="1" applyFill="1" applyBorder="1" applyAlignment="1">
      <alignment horizontal="justify" vertical="top" wrapText="1"/>
    </xf>
    <xf numFmtId="4" fontId="32" fillId="8" borderId="1" xfId="1" applyNumberFormat="1" applyFont="1" applyFill="1" applyBorder="1" applyAlignment="1">
      <alignment horizontal="center" vertical="center" wrapText="1"/>
    </xf>
    <xf numFmtId="9" fontId="35" fillId="8" borderId="1" xfId="1" applyNumberFormat="1" applyFont="1" applyFill="1" applyBorder="1" applyAlignment="1">
      <alignment horizontal="center" vertical="center" wrapText="1"/>
    </xf>
    <xf numFmtId="3" fontId="5" fillId="2" borderId="4" xfId="3" applyNumberFormat="1" applyFont="1" applyFill="1" applyBorder="1" applyAlignment="1">
      <alignment horizontal="justify" vertical="top" wrapText="1"/>
    </xf>
    <xf numFmtId="4" fontId="15" fillId="2" borderId="1" xfId="0" applyNumberFormat="1" applyFont="1" applyFill="1" applyBorder="1" applyAlignment="1">
      <alignment horizontal="justify" vertical="top" wrapText="1"/>
    </xf>
    <xf numFmtId="49" fontId="13" fillId="2" borderId="1" xfId="0" applyNumberFormat="1" applyFont="1" applyFill="1" applyBorder="1" applyAlignment="1">
      <alignment horizontal="center" vertical="top" wrapText="1"/>
    </xf>
    <xf numFmtId="0" fontId="23" fillId="6" borderId="1" xfId="1" applyFont="1" applyFill="1" applyBorder="1" applyAlignment="1">
      <alignment horizontal="center" vertical="top" wrapText="1"/>
    </xf>
    <xf numFmtId="9" fontId="37" fillId="6" borderId="1" xfId="1" applyNumberFormat="1" applyFont="1" applyFill="1" applyBorder="1" applyAlignment="1">
      <alignment horizontal="center" vertical="top" wrapText="1"/>
    </xf>
    <xf numFmtId="3" fontId="14" fillId="2" borderId="1" xfId="1" applyNumberFormat="1" applyFont="1" applyFill="1" applyBorder="1" applyAlignment="1">
      <alignment horizontal="center" vertical="top"/>
    </xf>
    <xf numFmtId="4" fontId="14" fillId="2" borderId="1" xfId="1" applyNumberFormat="1" applyFont="1" applyFill="1" applyBorder="1" applyAlignment="1">
      <alignment horizontal="center" wrapText="1"/>
    </xf>
    <xf numFmtId="3" fontId="14" fillId="2" borderId="6" xfId="1" applyNumberFormat="1" applyFont="1" applyFill="1" applyBorder="1" applyAlignment="1">
      <alignment horizontal="center" vertical="top" wrapText="1"/>
    </xf>
    <xf numFmtId="0" fontId="18" fillId="2" borderId="1" xfId="0" applyFont="1" applyFill="1" applyBorder="1" applyAlignment="1">
      <alignment horizontal="justify" vertical="top" wrapText="1"/>
    </xf>
    <xf numFmtId="3" fontId="14" fillId="2" borderId="1" xfId="0" applyNumberFormat="1" applyFont="1" applyFill="1" applyBorder="1" applyAlignment="1">
      <alignment horizontal="center" vertical="top" wrapText="1"/>
    </xf>
    <xf numFmtId="0" fontId="4" fillId="2" borderId="1" xfId="1" applyFont="1" applyFill="1" applyBorder="1" applyAlignment="1">
      <alignment vertical="top" wrapText="1"/>
    </xf>
    <xf numFmtId="0" fontId="13" fillId="2" borderId="0" xfId="0" applyFont="1" applyFill="1" applyBorder="1" applyAlignment="1">
      <alignment vertical="top" wrapText="1"/>
    </xf>
    <xf numFmtId="164" fontId="7" fillId="2" borderId="5" xfId="1" applyNumberFormat="1" applyFont="1" applyFill="1" applyBorder="1" applyAlignment="1">
      <alignment vertical="center" wrapText="1"/>
    </xf>
    <xf numFmtId="49" fontId="15" fillId="2" borderId="7" xfId="0" applyNumberFormat="1" applyFont="1" applyFill="1" applyBorder="1" applyAlignment="1">
      <alignment horizontal="center" vertical="top" wrapText="1"/>
    </xf>
    <xf numFmtId="9" fontId="23" fillId="6" borderId="1" xfId="12" applyFont="1" applyFill="1" applyBorder="1" applyAlignment="1">
      <alignment horizontal="center" vertical="center" wrapText="1"/>
    </xf>
    <xf numFmtId="49" fontId="13" fillId="2" borderId="7" xfId="0" applyNumberFormat="1" applyFont="1" applyFill="1" applyBorder="1" applyAlignment="1">
      <alignment horizontal="center" vertical="top" wrapText="1"/>
    </xf>
    <xf numFmtId="49" fontId="15" fillId="2" borderId="1" xfId="0" applyNumberFormat="1" applyFont="1" applyFill="1" applyBorder="1" applyAlignment="1">
      <alignment horizontal="center" vertical="top" wrapText="1"/>
    </xf>
    <xf numFmtId="3" fontId="23" fillId="2" borderId="1" xfId="1" applyNumberFormat="1" applyFont="1" applyFill="1" applyBorder="1" applyAlignment="1">
      <alignment horizontal="center" vertical="top" wrapText="1"/>
    </xf>
    <xf numFmtId="3" fontId="38" fillId="2" borderId="1" xfId="1" applyNumberFormat="1" applyFont="1" applyFill="1" applyBorder="1" applyAlignment="1">
      <alignment horizontal="center" vertical="top" wrapText="1"/>
    </xf>
    <xf numFmtId="2" fontId="17" fillId="2" borderId="1" xfId="0" applyNumberFormat="1" applyFont="1" applyFill="1" applyBorder="1" applyAlignment="1">
      <alignment horizontal="justify" vertical="top" wrapText="1"/>
    </xf>
    <xf numFmtId="1" fontId="31" fillId="2" borderId="1" xfId="2" applyNumberFormat="1" applyFont="1" applyFill="1" applyBorder="1" applyAlignment="1">
      <alignment horizontal="center" vertical="top" wrapText="1"/>
    </xf>
    <xf numFmtId="0" fontId="5" fillId="2" borderId="1" xfId="0" applyFont="1" applyFill="1" applyBorder="1" applyAlignment="1">
      <alignment horizontal="center" vertical="center"/>
    </xf>
    <xf numFmtId="0" fontId="3" fillId="2" borderId="1" xfId="4" applyFont="1" applyFill="1" applyBorder="1" applyAlignment="1">
      <alignment horizontal="center" vertical="center" wrapText="1"/>
    </xf>
    <xf numFmtId="0" fontId="40" fillId="2" borderId="8" xfId="9" applyFont="1" applyFill="1" applyBorder="1" applyAlignment="1">
      <alignment vertical="center" textRotation="90" wrapText="1"/>
    </xf>
    <xf numFmtId="0" fontId="5" fillId="2" borderId="5" xfId="4" applyFont="1" applyFill="1" applyBorder="1" applyAlignment="1">
      <alignment horizontal="center" vertical="top" wrapText="1"/>
    </xf>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3" fillId="2" borderId="9" xfId="4" applyFont="1" applyFill="1" applyBorder="1" applyAlignment="1">
      <alignment horizontal="left" vertical="top" wrapText="1"/>
    </xf>
    <xf numFmtId="0" fontId="3" fillId="2" borderId="1" xfId="4" applyFont="1" applyFill="1" applyBorder="1" applyAlignment="1">
      <alignment horizontal="left" vertical="top" wrapText="1"/>
    </xf>
    <xf numFmtId="0" fontId="3" fillId="2" borderId="2" xfId="4" applyFont="1" applyFill="1" applyBorder="1" applyAlignment="1">
      <alignment horizontal="left" vertical="top" wrapText="1"/>
    </xf>
    <xf numFmtId="0" fontId="3" fillId="2" borderId="8" xfId="0" applyFont="1" applyFill="1" applyBorder="1" applyAlignment="1">
      <alignment horizontal="justify" vertical="top" wrapText="1"/>
    </xf>
    <xf numFmtId="0" fontId="15" fillId="2" borderId="2" xfId="0" applyFont="1" applyFill="1" applyBorder="1" applyAlignment="1">
      <alignment horizontal="center" vertical="top" wrapText="1"/>
    </xf>
    <xf numFmtId="0" fontId="24" fillId="2" borderId="1" xfId="9" applyFont="1" applyFill="1" applyBorder="1" applyAlignment="1">
      <alignment horizontal="center"/>
    </xf>
    <xf numFmtId="0" fontId="15" fillId="2" borderId="7" xfId="0" applyFont="1" applyFill="1" applyBorder="1" applyAlignment="1">
      <alignment horizontal="center" vertical="top" wrapText="1"/>
    </xf>
    <xf numFmtId="0" fontId="24" fillId="2" borderId="1" xfId="9" applyFont="1" applyFill="1" applyBorder="1"/>
    <xf numFmtId="0" fontId="24" fillId="2" borderId="1" xfId="9" applyFont="1" applyFill="1" applyBorder="1" applyAlignment="1">
      <alignment horizontal="justify" vertical="top"/>
    </xf>
    <xf numFmtId="0" fontId="15" fillId="2" borderId="5" xfId="0" applyFont="1" applyFill="1" applyBorder="1" applyAlignment="1">
      <alignment horizontal="justify" vertical="top" wrapText="1"/>
    </xf>
    <xf numFmtId="0" fontId="36" fillId="2" borderId="1" xfId="9" applyFont="1" applyFill="1" applyBorder="1" applyAlignment="1">
      <alignment horizontal="center"/>
    </xf>
    <xf numFmtId="3" fontId="13" fillId="2"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0" fontId="13" fillId="2" borderId="1" xfId="0" applyFont="1" applyFill="1" applyBorder="1" applyAlignment="1">
      <alignment horizontal="justify" vertical="top" wrapText="1"/>
    </xf>
    <xf numFmtId="0" fontId="13" fillId="2" borderId="4" xfId="0" applyFont="1" applyFill="1" applyBorder="1" applyAlignment="1">
      <alignment horizontal="center" vertical="top" wrapText="1"/>
    </xf>
    <xf numFmtId="0" fontId="13" fillId="2" borderId="6" xfId="0" applyFont="1" applyFill="1" applyBorder="1" applyAlignment="1">
      <alignment horizontal="center" vertical="top" wrapText="1"/>
    </xf>
    <xf numFmtId="0" fontId="13" fillId="2" borderId="5" xfId="0" applyFont="1" applyFill="1" applyBorder="1" applyAlignment="1">
      <alignment horizontal="center" vertical="top" wrapText="1"/>
    </xf>
    <xf numFmtId="0" fontId="13" fillId="2" borderId="11" xfId="0" applyFont="1" applyFill="1" applyBorder="1" applyAlignment="1">
      <alignment horizontal="center" vertical="top" wrapText="1"/>
    </xf>
    <xf numFmtId="0" fontId="13" fillId="2" borderId="12" xfId="0" applyFont="1" applyFill="1" applyBorder="1" applyAlignment="1">
      <alignment horizontal="center" vertical="top" wrapText="1"/>
    </xf>
    <xf numFmtId="0" fontId="13" fillId="2" borderId="13" xfId="0" applyFont="1" applyFill="1" applyBorder="1" applyAlignment="1">
      <alignment horizontal="center" vertical="top" wrapText="1"/>
    </xf>
    <xf numFmtId="0" fontId="13" fillId="2" borderId="4" xfId="0" applyFont="1" applyFill="1" applyBorder="1" applyAlignment="1">
      <alignment horizontal="justify" vertical="top" wrapText="1"/>
    </xf>
    <xf numFmtId="0" fontId="13" fillId="2" borderId="6" xfId="0" applyFont="1" applyFill="1" applyBorder="1" applyAlignment="1">
      <alignment horizontal="justify" vertical="top" wrapText="1"/>
    </xf>
    <xf numFmtId="0" fontId="13" fillId="2" borderId="5" xfId="0" applyFont="1" applyFill="1" applyBorder="1" applyAlignment="1">
      <alignment horizontal="justify" vertical="top" wrapText="1"/>
    </xf>
    <xf numFmtId="4" fontId="13" fillId="2" borderId="1" xfId="0" applyNumberFormat="1" applyFont="1" applyFill="1" applyBorder="1" applyAlignment="1">
      <alignment horizontal="center" vertical="top" wrapText="1"/>
    </xf>
    <xf numFmtId="0" fontId="12" fillId="2" borderId="11" xfId="1" applyFont="1" applyFill="1" applyBorder="1" applyAlignment="1">
      <alignment horizontal="center" vertical="top" wrapText="1"/>
    </xf>
    <xf numFmtId="0" fontId="12" fillId="2" borderId="12" xfId="1" applyFont="1" applyFill="1" applyBorder="1" applyAlignment="1">
      <alignment horizontal="center" vertical="top" wrapText="1"/>
    </xf>
    <xf numFmtId="0" fontId="12" fillId="2" borderId="13" xfId="1" applyFont="1" applyFill="1" applyBorder="1" applyAlignment="1">
      <alignment horizontal="center" vertical="top" wrapText="1"/>
    </xf>
    <xf numFmtId="0" fontId="3" fillId="2" borderId="4" xfId="4" applyNumberFormat="1" applyFont="1" applyFill="1" applyBorder="1" applyAlignment="1">
      <alignment horizontal="center" vertical="top" wrapText="1"/>
    </xf>
    <xf numFmtId="0" fontId="3" fillId="2" borderId="6" xfId="4" applyNumberFormat="1" applyFont="1" applyFill="1" applyBorder="1" applyAlignment="1">
      <alignment horizontal="center" vertical="top" wrapText="1"/>
    </xf>
    <xf numFmtId="0" fontId="3" fillId="2" borderId="5" xfId="4" applyNumberFormat="1" applyFont="1" applyFill="1" applyBorder="1" applyAlignment="1">
      <alignment horizontal="center" vertical="top" wrapText="1"/>
    </xf>
    <xf numFmtId="0" fontId="3" fillId="2" borderId="4" xfId="0" applyFont="1" applyFill="1" applyBorder="1" applyAlignment="1">
      <alignment horizontal="justify" vertical="top" wrapText="1"/>
    </xf>
    <xf numFmtId="0" fontId="12" fillId="2" borderId="4" xfId="1" applyFont="1" applyFill="1" applyBorder="1" applyAlignment="1">
      <alignment horizontal="center" vertical="top" wrapText="1"/>
    </xf>
    <xf numFmtId="0" fontId="12" fillId="2" borderId="6" xfId="1" applyFont="1" applyFill="1" applyBorder="1" applyAlignment="1">
      <alignment horizontal="center" vertical="top" wrapText="1"/>
    </xf>
    <xf numFmtId="0" fontId="12" fillId="2" borderId="5" xfId="1" applyFont="1" applyFill="1" applyBorder="1" applyAlignment="1">
      <alignment horizontal="center" vertical="top" wrapText="1"/>
    </xf>
    <xf numFmtId="0" fontId="22" fillId="9" borderId="5" xfId="1" applyFont="1" applyFill="1" applyBorder="1" applyAlignment="1">
      <alignment horizontal="center" vertical="center" wrapText="1"/>
    </xf>
    <xf numFmtId="2" fontId="5" fillId="2" borderId="1" xfId="0" applyNumberFormat="1" applyFont="1" applyFill="1" applyBorder="1" applyAlignment="1">
      <alignment horizontal="center" vertical="top"/>
    </xf>
    <xf numFmtId="3" fontId="13" fillId="2" borderId="1" xfId="0" applyNumberFormat="1" applyFont="1" applyFill="1" applyBorder="1" applyAlignment="1">
      <alignment horizontal="center" vertical="top" wrapText="1"/>
    </xf>
    <xf numFmtId="49" fontId="13" fillId="6" borderId="7" xfId="0" applyNumberFormat="1" applyFont="1" applyFill="1" applyBorder="1" applyAlignment="1">
      <alignment horizontal="center" vertical="top" wrapText="1"/>
    </xf>
    <xf numFmtId="0" fontId="4" fillId="2" borderId="0" xfId="1" applyFont="1" applyFill="1" applyBorder="1"/>
    <xf numFmtId="0" fontId="4" fillId="0" borderId="0" xfId="1" applyFont="1" applyFill="1" applyBorder="1"/>
    <xf numFmtId="0" fontId="4" fillId="5" borderId="0" xfId="1" applyFont="1" applyFill="1" applyBorder="1"/>
    <xf numFmtId="0" fontId="5" fillId="3" borderId="8" xfId="1" applyFont="1" applyFill="1" applyBorder="1" applyAlignment="1">
      <alignment vertical="center" wrapText="1"/>
    </xf>
    <xf numFmtId="0" fontId="6" fillId="3" borderId="8"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3" borderId="13"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45" fillId="10" borderId="1" xfId="1" applyFont="1" applyFill="1" applyBorder="1" applyAlignment="1">
      <alignment horizontal="center" vertical="center" wrapText="1"/>
    </xf>
    <xf numFmtId="0" fontId="34" fillId="10" borderId="1" xfId="1" applyFont="1" applyFill="1" applyBorder="1" applyAlignment="1">
      <alignment horizontal="center" vertical="center" wrapText="1"/>
    </xf>
    <xf numFmtId="0" fontId="4" fillId="9" borderId="1" xfId="1" applyFont="1" applyFill="1" applyBorder="1" applyAlignment="1">
      <alignment horizontal="center" vertical="top"/>
    </xf>
    <xf numFmtId="0" fontId="5" fillId="3" borderId="8" xfId="1" applyFont="1" applyFill="1" applyBorder="1" applyAlignment="1">
      <alignment horizontal="center" vertical="center" wrapText="1"/>
    </xf>
    <xf numFmtId="2" fontId="4" fillId="2" borderId="4" xfId="1" applyNumberFormat="1" applyFont="1" applyFill="1" applyBorder="1" applyAlignment="1">
      <alignment horizontal="center" vertical="top"/>
    </xf>
    <xf numFmtId="0" fontId="4" fillId="2" borderId="4" xfId="1" applyFont="1" applyFill="1" applyBorder="1" applyAlignment="1">
      <alignment horizontal="center"/>
    </xf>
    <xf numFmtId="0" fontId="4" fillId="2" borderId="6" xfId="1" applyFont="1" applyFill="1" applyBorder="1" applyAlignment="1">
      <alignment horizontal="center"/>
    </xf>
    <xf numFmtId="0" fontId="4" fillId="2" borderId="5" xfId="1" applyFont="1" applyFill="1" applyBorder="1" applyAlignment="1">
      <alignment horizontal="center"/>
    </xf>
    <xf numFmtId="0" fontId="4" fillId="0" borderId="1" xfId="1" applyFont="1" applyBorder="1" applyAlignment="1">
      <alignment horizontal="center"/>
    </xf>
    <xf numFmtId="0" fontId="4" fillId="2" borderId="1" xfId="1" applyFont="1" applyFill="1" applyBorder="1" applyAlignment="1">
      <alignment horizontal="center"/>
    </xf>
    <xf numFmtId="0" fontId="6" fillId="3" borderId="14" xfId="1" applyFont="1" applyFill="1" applyBorder="1" applyAlignment="1">
      <alignment horizontal="center" vertical="center" wrapText="1"/>
    </xf>
    <xf numFmtId="0" fontId="4" fillId="0" borderId="4" xfId="1" applyFont="1" applyBorder="1" applyAlignment="1">
      <alignment horizontal="center"/>
    </xf>
    <xf numFmtId="0" fontId="4" fillId="2" borderId="1" xfId="1" applyFont="1" applyFill="1" applyBorder="1"/>
    <xf numFmtId="0" fontId="4" fillId="0" borderId="6" xfId="1" applyFont="1" applyBorder="1"/>
    <xf numFmtId="0" fontId="4" fillId="0" borderId="0" xfId="1" applyFont="1" applyBorder="1"/>
    <xf numFmtId="0" fontId="5" fillId="2" borderId="1" xfId="1" applyFont="1" applyFill="1" applyBorder="1" applyAlignment="1">
      <alignment vertical="center" wrapText="1"/>
    </xf>
    <xf numFmtId="0" fontId="34" fillId="2" borderId="1" xfId="1" applyFont="1" applyFill="1" applyBorder="1" applyAlignment="1">
      <alignment horizontal="center" vertical="center" wrapText="1"/>
    </xf>
    <xf numFmtId="3" fontId="4" fillId="2" borderId="1" xfId="1" applyNumberFormat="1" applyFont="1" applyFill="1" applyBorder="1"/>
    <xf numFmtId="3" fontId="4" fillId="0" borderId="1" xfId="1" applyNumberFormat="1" applyFont="1" applyBorder="1"/>
    <xf numFmtId="0" fontId="4" fillId="6" borderId="1" xfId="1" applyFont="1" applyFill="1" applyBorder="1"/>
    <xf numFmtId="0" fontId="11" fillId="3" borderId="7" xfId="1" applyFont="1" applyFill="1" applyBorder="1" applyAlignment="1">
      <alignment horizontal="center" vertical="center" wrapText="1"/>
    </xf>
    <xf numFmtId="0" fontId="11" fillId="3" borderId="13"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11" fillId="3" borderId="8" xfId="1" applyFont="1" applyFill="1" applyBorder="1" applyAlignment="1">
      <alignment horizontal="center" vertical="center" wrapText="1"/>
    </xf>
    <xf numFmtId="0" fontId="11" fillId="13" borderId="7" xfId="1" applyFont="1" applyFill="1" applyBorder="1" applyAlignment="1">
      <alignment horizontal="center" vertical="center" wrapText="1"/>
    </xf>
    <xf numFmtId="0" fontId="26" fillId="8" borderId="4" xfId="1" applyFont="1" applyFill="1" applyBorder="1" applyAlignment="1">
      <alignment horizontal="left" vertical="center" wrapText="1"/>
    </xf>
    <xf numFmtId="0" fontId="10" fillId="14" borderId="1" xfId="0" applyFont="1" applyFill="1" applyBorder="1" applyAlignment="1">
      <alignment horizontal="left" vertical="top" wrapText="1"/>
    </xf>
    <xf numFmtId="0" fontId="26" fillId="8" borderId="4" xfId="1" applyFont="1" applyFill="1" applyBorder="1" applyAlignment="1">
      <alignment horizontal="right" vertical="center"/>
    </xf>
    <xf numFmtId="0" fontId="26" fillId="8" borderId="6" xfId="1" applyFont="1" applyFill="1" applyBorder="1" applyAlignment="1">
      <alignment horizontal="right" vertical="center"/>
    </xf>
    <xf numFmtId="0" fontId="10" fillId="8" borderId="1" xfId="1" applyFont="1" applyFill="1" applyBorder="1" applyAlignment="1">
      <alignment horizontal="left" vertical="center" wrapText="1"/>
    </xf>
    <xf numFmtId="0" fontId="47" fillId="8" borderId="1" xfId="1" applyFont="1" applyFill="1" applyBorder="1" applyAlignment="1">
      <alignment horizontal="left" vertical="center" wrapText="1"/>
    </xf>
    <xf numFmtId="0" fontId="26" fillId="8" borderId="10" xfId="1" applyFont="1" applyFill="1" applyBorder="1" applyAlignment="1">
      <alignment horizontal="left" vertical="center" wrapText="1"/>
    </xf>
    <xf numFmtId="0" fontId="16" fillId="2" borderId="1" xfId="4" applyNumberFormat="1" applyFont="1" applyFill="1" applyBorder="1" applyAlignment="1">
      <alignment horizontal="justify" vertical="top" wrapText="1"/>
    </xf>
    <xf numFmtId="0" fontId="4" fillId="12" borderId="0" xfId="1" applyFont="1" applyFill="1" applyBorder="1"/>
    <xf numFmtId="0" fontId="4" fillId="3" borderId="0" xfId="1" applyFont="1" applyFill="1" applyBorder="1"/>
    <xf numFmtId="0" fontId="4" fillId="11" borderId="0" xfId="1" applyFont="1" applyFill="1" applyBorder="1"/>
    <xf numFmtId="3" fontId="4" fillId="0" borderId="0" xfId="1" applyNumberFormat="1" applyFont="1" applyBorder="1"/>
    <xf numFmtId="0" fontId="4" fillId="0" borderId="0" xfId="1" applyFont="1" applyBorder="1" applyAlignment="1">
      <alignment horizontal="justify" vertical="top"/>
    </xf>
    <xf numFmtId="0" fontId="4" fillId="2" borderId="0" xfId="1" applyFont="1" applyFill="1" applyBorder="1" applyAlignment="1">
      <alignment vertical="top"/>
    </xf>
    <xf numFmtId="4" fontId="4" fillId="0" borderId="0" xfId="1" applyNumberFormat="1" applyFont="1" applyBorder="1"/>
    <xf numFmtId="44" fontId="4" fillId="0" borderId="0" xfId="1" applyNumberFormat="1" applyFont="1" applyBorder="1"/>
    <xf numFmtId="0" fontId="4" fillId="8" borderId="0" xfId="1" applyFont="1" applyFill="1" applyBorder="1"/>
    <xf numFmtId="0" fontId="4" fillId="7" borderId="0" xfId="1" applyFont="1" applyFill="1" applyBorder="1"/>
    <xf numFmtId="0" fontId="36" fillId="2" borderId="0" xfId="1" applyFont="1" applyFill="1" applyBorder="1"/>
    <xf numFmtId="43" fontId="4" fillId="0" borderId="0" xfId="10" applyFont="1" applyBorder="1"/>
    <xf numFmtId="3" fontId="4" fillId="2" borderId="0" xfId="1" applyNumberFormat="1" applyFont="1" applyFill="1" applyBorder="1"/>
    <xf numFmtId="9" fontId="15" fillId="2" borderId="7" xfId="0" applyNumberFormat="1" applyFont="1" applyFill="1" applyBorder="1" applyAlignment="1" applyProtection="1">
      <alignment horizontal="center" vertical="top" wrapText="1"/>
      <protection locked="0"/>
    </xf>
    <xf numFmtId="0" fontId="44" fillId="2" borderId="1" xfId="0" applyFont="1" applyFill="1" applyBorder="1" applyAlignment="1">
      <alignment vertical="top" wrapText="1"/>
    </xf>
    <xf numFmtId="3" fontId="5" fillId="6" borderId="1" xfId="0" applyNumberFormat="1" applyFont="1" applyFill="1" applyBorder="1" applyAlignment="1">
      <alignment horizontal="center" vertical="top"/>
    </xf>
    <xf numFmtId="3" fontId="3" fillId="6" borderId="1" xfId="0" applyNumberFormat="1" applyFont="1" applyFill="1" applyBorder="1" applyAlignment="1">
      <alignment horizontal="center" vertical="top"/>
    </xf>
    <xf numFmtId="0" fontId="22" fillId="6" borderId="1" xfId="1" applyFont="1" applyFill="1" applyBorder="1" applyAlignment="1">
      <alignment horizontal="center" vertical="top" wrapText="1"/>
    </xf>
    <xf numFmtId="3" fontId="11" fillId="6" borderId="1" xfId="1" applyNumberFormat="1" applyFont="1" applyFill="1" applyBorder="1" applyAlignment="1">
      <alignment horizontal="center" vertical="top" wrapText="1"/>
    </xf>
    <xf numFmtId="3" fontId="14" fillId="6" borderId="1" xfId="1" applyNumberFormat="1" applyFont="1" applyFill="1" applyBorder="1" applyAlignment="1">
      <alignment horizontal="center" vertical="top" wrapText="1"/>
    </xf>
    <xf numFmtId="0" fontId="5" fillId="6" borderId="1" xfId="0" applyFont="1" applyFill="1" applyBorder="1" applyAlignment="1">
      <alignment horizontal="center" vertical="top"/>
    </xf>
    <xf numFmtId="3" fontId="5" fillId="6" borderId="1" xfId="1" applyNumberFormat="1" applyFont="1" applyFill="1" applyBorder="1" applyAlignment="1">
      <alignment horizontal="center" vertical="top" wrapText="1"/>
    </xf>
    <xf numFmtId="9" fontId="13" fillId="2" borderId="7" xfId="0" applyNumberFormat="1" applyFont="1" applyFill="1" applyBorder="1" applyAlignment="1">
      <alignment horizontal="center" vertical="top" wrapText="1"/>
    </xf>
    <xf numFmtId="3" fontId="13" fillId="2" borderId="7" xfId="0" applyNumberFormat="1" applyFont="1" applyFill="1" applyBorder="1" applyAlignment="1">
      <alignment horizontal="center" vertical="top" wrapText="1"/>
    </xf>
    <xf numFmtId="49" fontId="3" fillId="6" borderId="1" xfId="0" applyNumberFormat="1" applyFont="1" applyFill="1" applyBorder="1" applyAlignment="1">
      <alignment horizontal="center" vertical="top"/>
    </xf>
    <xf numFmtId="49" fontId="14" fillId="6" borderId="1" xfId="1" applyNumberFormat="1" applyFont="1" applyFill="1" applyBorder="1" applyAlignment="1">
      <alignment horizontal="center" vertical="top" wrapText="1"/>
    </xf>
    <xf numFmtId="9" fontId="3" fillId="2" borderId="1" xfId="0" applyNumberFormat="1" applyFont="1" applyFill="1" applyBorder="1" applyAlignment="1">
      <alignment horizontal="center" vertical="top"/>
    </xf>
    <xf numFmtId="0" fontId="45" fillId="10" borderId="7" xfId="1" applyFont="1" applyFill="1" applyBorder="1" applyAlignment="1">
      <alignment horizontal="center" vertical="center" wrapText="1"/>
    </xf>
    <xf numFmtId="0" fontId="34" fillId="10" borderId="7" xfId="1" applyFont="1" applyFill="1" applyBorder="1" applyAlignment="1">
      <alignment horizontal="center" vertical="center" wrapText="1"/>
    </xf>
    <xf numFmtId="9" fontId="13" fillId="2"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10" fontId="22" fillId="2" borderId="1" xfId="1" applyNumberFormat="1" applyFont="1" applyFill="1" applyBorder="1" applyAlignment="1">
      <alignment vertical="top" wrapText="1"/>
    </xf>
    <xf numFmtId="10" fontId="22" fillId="2" borderId="1" xfId="1" applyNumberFormat="1" applyFont="1" applyFill="1" applyBorder="1" applyAlignment="1">
      <alignment horizontal="center" vertical="top" wrapText="1"/>
    </xf>
    <xf numFmtId="3" fontId="11" fillId="17" borderId="1" xfId="1" applyNumberFormat="1" applyFont="1" applyFill="1" applyBorder="1" applyAlignment="1">
      <alignment horizontal="center" vertical="top" wrapText="1"/>
    </xf>
    <xf numFmtId="0" fontId="3" fillId="17" borderId="1" xfId="0" applyFont="1" applyFill="1" applyBorder="1" applyAlignment="1">
      <alignment horizontal="center" vertical="top"/>
    </xf>
    <xf numFmtId="3" fontId="14" fillId="17" borderId="1" xfId="1" applyNumberFormat="1" applyFont="1" applyFill="1" applyBorder="1" applyAlignment="1">
      <alignment horizontal="center" vertical="top" wrapText="1"/>
    </xf>
    <xf numFmtId="0" fontId="14" fillId="17" borderId="4" xfId="1" applyFont="1" applyFill="1" applyBorder="1" applyAlignment="1">
      <alignment horizontal="center" vertical="top" wrapText="1"/>
    </xf>
    <xf numFmtId="0" fontId="22" fillId="17" borderId="7" xfId="1" applyFont="1" applyFill="1" applyBorder="1" applyAlignment="1">
      <alignment horizontal="center" vertical="top" wrapText="1"/>
    </xf>
    <xf numFmtId="3" fontId="5" fillId="17" borderId="1" xfId="0" applyNumberFormat="1" applyFont="1" applyFill="1" applyBorder="1" applyAlignment="1">
      <alignment horizontal="center" vertical="top"/>
    </xf>
    <xf numFmtId="3" fontId="3" fillId="17" borderId="1" xfId="0" applyNumberFormat="1" applyFont="1" applyFill="1" applyBorder="1" applyAlignment="1">
      <alignment horizontal="center" vertical="top"/>
    </xf>
    <xf numFmtId="0" fontId="22" fillId="17" borderId="1" xfId="1" applyFont="1" applyFill="1" applyBorder="1" applyAlignment="1">
      <alignment horizontal="center" vertical="top" wrapText="1"/>
    </xf>
    <xf numFmtId="0" fontId="25" fillId="2" borderId="1" xfId="3" applyFont="1" applyFill="1" applyBorder="1" applyAlignment="1">
      <alignment horizontal="justify" vertical="top" wrapText="1"/>
    </xf>
    <xf numFmtId="0" fontId="5" fillId="17" borderId="1" xfId="0" applyFont="1" applyFill="1" applyBorder="1" applyAlignment="1">
      <alignment horizontal="center" vertical="top"/>
    </xf>
    <xf numFmtId="9" fontId="14" fillId="17" borderId="1" xfId="1" applyNumberFormat="1" applyFont="1" applyFill="1" applyBorder="1" applyAlignment="1">
      <alignment horizontal="center" vertical="top" wrapText="1"/>
    </xf>
    <xf numFmtId="3" fontId="13" fillId="17" borderId="1" xfId="0" applyNumberFormat="1" applyFont="1" applyFill="1" applyBorder="1" applyAlignment="1">
      <alignment horizontal="center" vertical="top" wrapText="1"/>
    </xf>
    <xf numFmtId="3" fontId="3" fillId="17" borderId="1" xfId="0" applyNumberFormat="1" applyFont="1" applyFill="1" applyBorder="1" applyAlignment="1">
      <alignment horizontal="center" vertical="top" wrapText="1"/>
    </xf>
    <xf numFmtId="0" fontId="13" fillId="17" borderId="1" xfId="0" applyFont="1" applyFill="1" applyBorder="1" applyAlignment="1">
      <alignment horizontal="center" vertical="top" wrapText="1"/>
    </xf>
    <xf numFmtId="0" fontId="15" fillId="17" borderId="1" xfId="0" applyFont="1" applyFill="1" applyBorder="1" applyAlignment="1">
      <alignment horizontal="center" vertical="top" wrapText="1"/>
    </xf>
    <xf numFmtId="3" fontId="13" fillId="17" borderId="2" xfId="0" applyNumberFormat="1" applyFont="1" applyFill="1" applyBorder="1" applyAlignment="1">
      <alignment horizontal="center" vertical="top" wrapText="1"/>
    </xf>
    <xf numFmtId="3" fontId="15" fillId="17" borderId="1" xfId="0" applyNumberFormat="1" applyFont="1" applyFill="1" applyBorder="1" applyAlignment="1">
      <alignment horizontal="center" vertical="top" wrapText="1"/>
    </xf>
    <xf numFmtId="3" fontId="3" fillId="17" borderId="1" xfId="1" applyNumberFormat="1" applyFont="1" applyFill="1" applyBorder="1" applyAlignment="1">
      <alignment horizontal="center" vertical="top" wrapText="1"/>
    </xf>
    <xf numFmtId="3" fontId="5" fillId="17" borderId="1" xfId="1" applyNumberFormat="1" applyFont="1" applyFill="1" applyBorder="1" applyAlignment="1">
      <alignment horizontal="center" vertical="top" wrapText="1"/>
    </xf>
    <xf numFmtId="9" fontId="13" fillId="17" borderId="7" xfId="0" applyNumberFormat="1" applyFont="1" applyFill="1" applyBorder="1" applyAlignment="1">
      <alignment horizontal="center" vertical="top" wrapText="1"/>
    </xf>
    <xf numFmtId="3" fontId="11" fillId="17" borderId="1" xfId="0" applyNumberFormat="1" applyFont="1" applyFill="1" applyBorder="1" applyAlignment="1">
      <alignment horizontal="center" vertical="top" wrapText="1"/>
    </xf>
    <xf numFmtId="3" fontId="14" fillId="17"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1" fontId="14" fillId="2" borderId="1" xfId="1" applyNumberFormat="1" applyFont="1" applyFill="1" applyBorder="1" applyAlignment="1">
      <alignment horizontal="center" vertical="top" wrapText="1"/>
    </xf>
    <xf numFmtId="1" fontId="11" fillId="2" borderId="1" xfId="1" applyNumberFormat="1" applyFont="1" applyFill="1" applyBorder="1" applyAlignment="1">
      <alignment horizontal="center" vertical="top" wrapText="1"/>
    </xf>
    <xf numFmtId="3" fontId="44" fillId="2" borderId="1" xfId="0" applyNumberFormat="1" applyFont="1" applyFill="1" applyBorder="1" applyAlignment="1">
      <alignment vertical="top" wrapText="1"/>
    </xf>
    <xf numFmtId="0" fontId="5" fillId="6" borderId="1" xfId="1" applyFont="1" applyFill="1" applyBorder="1" applyAlignment="1">
      <alignment horizontal="center" vertical="top" wrapText="1"/>
    </xf>
    <xf numFmtId="0" fontId="16" fillId="2" borderId="1" xfId="0" applyFont="1" applyFill="1" applyBorder="1" applyAlignment="1">
      <alignment horizontal="justify" vertical="top" wrapText="1"/>
    </xf>
    <xf numFmtId="3" fontId="13" fillId="2" borderId="1" xfId="0" applyNumberFormat="1" applyFont="1" applyFill="1" applyBorder="1" applyAlignment="1">
      <alignment horizontal="center" vertical="top" wrapText="1"/>
    </xf>
    <xf numFmtId="49" fontId="5" fillId="2" borderId="1" xfId="4" applyNumberFormat="1" applyFont="1" applyFill="1" applyBorder="1" applyAlignment="1">
      <alignment horizontal="center" vertical="top" wrapText="1"/>
    </xf>
    <xf numFmtId="0" fontId="13" fillId="17" borderId="2" xfId="0" applyFont="1" applyFill="1" applyBorder="1" applyAlignment="1">
      <alignment horizontal="center" vertical="top" wrapText="1"/>
    </xf>
    <xf numFmtId="3" fontId="15" fillId="2" borderId="1" xfId="0" applyNumberFormat="1" applyFont="1" applyFill="1" applyBorder="1" applyAlignment="1">
      <alignment vertical="top" wrapText="1"/>
    </xf>
    <xf numFmtId="9" fontId="14" fillId="6" borderId="1" xfId="1"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0" fontId="11" fillId="17" borderId="1" xfId="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10" fontId="22" fillId="2" borderId="2" xfId="1" applyNumberFormat="1" applyFont="1" applyFill="1" applyBorder="1" applyAlignment="1">
      <alignment horizontal="center" vertical="top" wrapText="1"/>
    </xf>
    <xf numFmtId="10" fontId="22" fillId="6" borderId="7" xfId="1" applyNumberFormat="1" applyFont="1" applyFill="1" applyBorder="1" applyAlignment="1">
      <alignment horizontal="center" vertical="top" wrapText="1"/>
    </xf>
    <xf numFmtId="10" fontId="22" fillId="6" borderId="1" xfId="1" applyNumberFormat="1" applyFont="1" applyFill="1" applyBorder="1" applyAlignment="1">
      <alignment horizontal="center" vertical="top" wrapText="1"/>
    </xf>
    <xf numFmtId="0" fontId="22" fillId="6" borderId="7" xfId="1" applyFont="1" applyFill="1" applyBorder="1" applyAlignment="1">
      <alignment horizontal="center" vertical="top" wrapText="1"/>
    </xf>
    <xf numFmtId="9" fontId="11" fillId="6" borderId="1" xfId="1" applyNumberFormat="1" applyFont="1" applyFill="1" applyBorder="1" applyAlignment="1">
      <alignment horizontal="center" vertical="top" wrapText="1"/>
    </xf>
    <xf numFmtId="9" fontId="3" fillId="6" borderId="1" xfId="1"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0" fontId="48" fillId="2" borderId="1" xfId="3" applyFont="1" applyFill="1" applyBorder="1" applyAlignment="1">
      <alignment horizontal="justify" vertical="top" wrapText="1"/>
    </xf>
    <xf numFmtId="0" fontId="48" fillId="2" borderId="1" xfId="3" applyFont="1" applyFill="1" applyBorder="1" applyAlignment="1">
      <alignment horizontal="left" vertical="top" wrapText="1"/>
    </xf>
    <xf numFmtId="49" fontId="13" fillId="17" borderId="1" xfId="0" applyNumberFormat="1" applyFont="1" applyFill="1" applyBorder="1" applyAlignment="1">
      <alignment horizontal="center" vertical="top" wrapText="1"/>
    </xf>
    <xf numFmtId="3" fontId="5" fillId="6" borderId="1" xfId="0" applyNumberFormat="1" applyFont="1" applyFill="1" applyBorder="1" applyAlignment="1">
      <alignment horizontal="center" vertical="top" wrapText="1"/>
    </xf>
    <xf numFmtId="3" fontId="14" fillId="6" borderId="2" xfId="1" applyNumberFormat="1" applyFont="1" applyFill="1" applyBorder="1" applyAlignment="1">
      <alignment horizontal="center" vertical="top" wrapText="1"/>
    </xf>
    <xf numFmtId="3" fontId="13" fillId="6" borderId="1" xfId="0" applyNumberFormat="1" applyFont="1" applyFill="1" applyBorder="1" applyAlignment="1">
      <alignment horizontal="center" vertical="top" wrapText="1"/>
    </xf>
    <xf numFmtId="9" fontId="11" fillId="17" borderId="1" xfId="1"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4" fontId="11" fillId="17" borderId="1" xfId="1" applyNumberFormat="1" applyFont="1" applyFill="1" applyBorder="1" applyAlignment="1">
      <alignment horizontal="center" vertical="top" wrapText="1"/>
    </xf>
    <xf numFmtId="4" fontId="25" fillId="2" borderId="1" xfId="1" applyNumberFormat="1" applyFont="1" applyFill="1" applyBorder="1" applyAlignment="1">
      <alignment horizontal="justify" vertical="top" wrapText="1"/>
    </xf>
    <xf numFmtId="9" fontId="3" fillId="6" borderId="1" xfId="0" applyNumberFormat="1" applyFont="1" applyFill="1" applyBorder="1" applyAlignment="1">
      <alignment horizontal="center" vertical="top"/>
    </xf>
    <xf numFmtId="9" fontId="13" fillId="6" borderId="1" xfId="0" applyNumberFormat="1" applyFont="1" applyFill="1" applyBorder="1" applyAlignment="1">
      <alignment horizontal="center" vertical="top" wrapText="1"/>
    </xf>
    <xf numFmtId="3" fontId="15" fillId="6" borderId="1" xfId="0" applyNumberFormat="1" applyFont="1" applyFill="1" applyBorder="1" applyAlignment="1">
      <alignment horizontal="center" vertical="top" wrapText="1"/>
    </xf>
    <xf numFmtId="0" fontId="44" fillId="2" borderId="11" xfId="0" applyFont="1" applyFill="1" applyBorder="1" applyAlignment="1">
      <alignment horizontal="justify" vertical="top" wrapText="1"/>
    </xf>
    <xf numFmtId="0" fontId="44" fillId="2" borderId="13" xfId="0" applyFont="1" applyFill="1" applyBorder="1" applyAlignment="1">
      <alignment horizontal="justify" vertical="top" wrapText="1"/>
    </xf>
    <xf numFmtId="3" fontId="30" fillId="2" borderId="11" xfId="1" applyNumberFormat="1" applyFont="1" applyFill="1" applyBorder="1" applyAlignment="1">
      <alignment horizontal="justify" vertical="top" wrapText="1"/>
    </xf>
    <xf numFmtId="3" fontId="30" fillId="2" borderId="13" xfId="1" applyNumberFormat="1" applyFont="1" applyFill="1" applyBorder="1" applyAlignment="1">
      <alignment horizontal="justify" vertical="top" wrapText="1"/>
    </xf>
    <xf numFmtId="3" fontId="30" fillId="2" borderId="14" xfId="1" applyNumberFormat="1" applyFont="1" applyFill="1" applyBorder="1" applyAlignment="1">
      <alignment horizontal="justify" vertical="top" wrapText="1"/>
    </xf>
    <xf numFmtId="3" fontId="30" fillId="2" borderId="15" xfId="1" applyNumberFormat="1" applyFont="1" applyFill="1" applyBorder="1" applyAlignment="1">
      <alignment horizontal="justify" vertical="top" wrapText="1"/>
    </xf>
    <xf numFmtId="3" fontId="30" fillId="2" borderId="10" xfId="1" applyNumberFormat="1" applyFont="1" applyFill="1" applyBorder="1" applyAlignment="1">
      <alignment horizontal="justify" vertical="top" wrapText="1"/>
    </xf>
    <xf numFmtId="3" fontId="30" fillId="2" borderId="9" xfId="1" applyNumberFormat="1" applyFont="1" applyFill="1" applyBorder="1" applyAlignment="1">
      <alignment horizontal="justify" vertical="top" wrapText="1"/>
    </xf>
    <xf numFmtId="4" fontId="25" fillId="2" borderId="4" xfId="1" applyNumberFormat="1" applyFont="1" applyFill="1" applyBorder="1" applyAlignment="1">
      <alignment horizontal="justify" vertical="top" wrapText="1"/>
    </xf>
    <xf numFmtId="4" fontId="25" fillId="2" borderId="6" xfId="1" applyNumberFormat="1" applyFont="1" applyFill="1" applyBorder="1" applyAlignment="1">
      <alignment horizontal="justify" vertical="top" wrapText="1"/>
    </xf>
    <xf numFmtId="4" fontId="25" fillId="2" borderId="5" xfId="1" applyNumberFormat="1" applyFont="1" applyFill="1" applyBorder="1" applyAlignment="1">
      <alignment horizontal="justify" vertical="top" wrapText="1"/>
    </xf>
    <xf numFmtId="0" fontId="13" fillId="2" borderId="4" xfId="0" applyFont="1" applyFill="1" applyBorder="1" applyAlignment="1">
      <alignment horizontal="center" vertical="top" wrapText="1"/>
    </xf>
    <xf numFmtId="0" fontId="13" fillId="2" borderId="6" xfId="0" applyFont="1" applyFill="1" applyBorder="1" applyAlignment="1">
      <alignment horizontal="center" vertical="top" wrapText="1"/>
    </xf>
    <xf numFmtId="0" fontId="13" fillId="2" borderId="5" xfId="0" applyFont="1" applyFill="1" applyBorder="1" applyAlignment="1">
      <alignment horizontal="center" vertical="top" wrapText="1"/>
    </xf>
    <xf numFmtId="4" fontId="18" fillId="2" borderId="4" xfId="1" applyNumberFormat="1" applyFont="1" applyFill="1" applyBorder="1" applyAlignment="1">
      <alignment horizontal="justify" vertical="top" wrapText="1"/>
    </xf>
    <xf numFmtId="4" fontId="18" fillId="2" borderId="5" xfId="1" applyNumberFormat="1" applyFont="1" applyFill="1" applyBorder="1" applyAlignment="1">
      <alignment horizontal="justify" vertical="top" wrapText="1"/>
    </xf>
    <xf numFmtId="0" fontId="10" fillId="2" borderId="1" xfId="0" applyFont="1" applyFill="1" applyBorder="1" applyAlignment="1">
      <alignment horizontal="justify" vertical="justify" wrapText="1"/>
    </xf>
    <xf numFmtId="0" fontId="26" fillId="8" borderId="6" xfId="1" applyFont="1" applyFill="1" applyBorder="1" applyAlignment="1">
      <alignment horizontal="center" vertical="center"/>
    </xf>
    <xf numFmtId="0" fontId="26" fillId="8" borderId="5" xfId="1" applyFont="1" applyFill="1" applyBorder="1" applyAlignment="1">
      <alignment horizontal="center" vertical="center"/>
    </xf>
    <xf numFmtId="0" fontId="12" fillId="2" borderId="4" xfId="1" applyFont="1" applyFill="1" applyBorder="1" applyAlignment="1">
      <alignment horizontal="center" vertical="top" wrapText="1"/>
    </xf>
    <xf numFmtId="0" fontId="12" fillId="2" borderId="6" xfId="1" applyFont="1" applyFill="1" applyBorder="1" applyAlignment="1">
      <alignment horizontal="center" vertical="top" wrapText="1"/>
    </xf>
    <xf numFmtId="0" fontId="12" fillId="2" borderId="5" xfId="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0" fontId="26" fillId="8" borderId="4" xfId="1" applyFont="1" applyFill="1" applyBorder="1" applyAlignment="1">
      <alignment horizontal="right" vertical="center" wrapText="1"/>
    </xf>
    <xf numFmtId="0" fontId="26" fillId="8" borderId="6" xfId="1" applyFont="1" applyFill="1" applyBorder="1" applyAlignment="1">
      <alignment horizontal="right" vertical="center" wrapText="1"/>
    </xf>
    <xf numFmtId="0" fontId="26" fillId="8" borderId="5" xfId="1" applyFont="1" applyFill="1" applyBorder="1" applyAlignment="1">
      <alignment horizontal="right" vertical="center" wrapText="1"/>
    </xf>
    <xf numFmtId="0" fontId="13" fillId="2" borderId="1" xfId="0" applyFont="1" applyFill="1" applyBorder="1" applyAlignment="1">
      <alignment horizontal="justify" vertical="top" wrapText="1"/>
    </xf>
    <xf numFmtId="0" fontId="10" fillId="14" borderId="1" xfId="1" applyFont="1" applyFill="1" applyBorder="1" applyAlignment="1">
      <alignment horizontal="left" vertical="top" wrapText="1"/>
    </xf>
    <xf numFmtId="0" fontId="23" fillId="14" borderId="1" xfId="0" applyFont="1" applyFill="1" applyBorder="1" applyAlignment="1">
      <alignment horizontal="justify" vertical="justify" wrapText="1"/>
    </xf>
    <xf numFmtId="0" fontId="26" fillId="8" borderId="4" xfId="1" applyFont="1" applyFill="1" applyBorder="1" applyAlignment="1">
      <alignment horizontal="left" vertical="center" wrapText="1"/>
    </xf>
    <xf numFmtId="0" fontId="26" fillId="8" borderId="6" xfId="1" applyFont="1" applyFill="1" applyBorder="1" applyAlignment="1">
      <alignment horizontal="left" vertical="center" wrapText="1"/>
    </xf>
    <xf numFmtId="0" fontId="10" fillId="14" borderId="4" xfId="0" applyFont="1" applyFill="1" applyBorder="1" applyAlignment="1">
      <alignment horizontal="left" vertical="top" wrapText="1"/>
    </xf>
    <xf numFmtId="0" fontId="10" fillId="14" borderId="6" xfId="0" applyFont="1" applyFill="1" applyBorder="1" applyAlignment="1">
      <alignment horizontal="left" vertical="top" wrapText="1"/>
    </xf>
    <xf numFmtId="0" fontId="10" fillId="14" borderId="5" xfId="0" applyFont="1" applyFill="1" applyBorder="1" applyAlignment="1">
      <alignment horizontal="left" vertical="top" wrapText="1"/>
    </xf>
    <xf numFmtId="0" fontId="44" fillId="2" borderId="14" xfId="0" applyFont="1" applyFill="1" applyBorder="1" applyAlignment="1">
      <alignment horizontal="justify" vertical="top" wrapText="1"/>
    </xf>
    <xf numFmtId="0" fontId="44" fillId="2" borderId="15" xfId="0" applyFont="1" applyFill="1" applyBorder="1" applyAlignment="1">
      <alignment horizontal="justify" vertical="top" wrapText="1"/>
    </xf>
    <xf numFmtId="0" fontId="44" fillId="2" borderId="10" xfId="0" applyFont="1" applyFill="1" applyBorder="1" applyAlignment="1">
      <alignment horizontal="justify" vertical="top" wrapText="1"/>
    </xf>
    <xf numFmtId="0" fontId="44" fillId="2" borderId="9" xfId="0" applyFont="1" applyFill="1" applyBorder="1" applyAlignment="1">
      <alignment horizontal="justify" vertical="top" wrapText="1"/>
    </xf>
    <xf numFmtId="0" fontId="13" fillId="2" borderId="11" xfId="0" applyFont="1" applyFill="1" applyBorder="1" applyAlignment="1">
      <alignment horizontal="center" vertical="top" wrapText="1"/>
    </xf>
    <xf numFmtId="0" fontId="13" fillId="2" borderId="12" xfId="0" applyFont="1" applyFill="1" applyBorder="1" applyAlignment="1">
      <alignment horizontal="center" vertical="top" wrapText="1"/>
    </xf>
    <xf numFmtId="0" fontId="13" fillId="2" borderId="13" xfId="0" applyFont="1" applyFill="1" applyBorder="1" applyAlignment="1">
      <alignment horizontal="center" vertical="top" wrapText="1"/>
    </xf>
    <xf numFmtId="0" fontId="2" fillId="10" borderId="1" xfId="1" applyFont="1" applyFill="1" applyBorder="1" applyAlignment="1">
      <alignment horizontal="left" vertical="center" wrapText="1"/>
    </xf>
    <xf numFmtId="0" fontId="13" fillId="2" borderId="4" xfId="0" applyFont="1" applyFill="1" applyBorder="1" applyAlignment="1">
      <alignment horizontal="justify" vertical="top" wrapText="1"/>
    </xf>
    <xf numFmtId="0" fontId="13" fillId="2" borderId="6" xfId="0" applyFont="1" applyFill="1" applyBorder="1" applyAlignment="1">
      <alignment horizontal="justify" vertical="top" wrapText="1"/>
    </xf>
    <xf numFmtId="0" fontId="13" fillId="2" borderId="5" xfId="0" applyFont="1" applyFill="1" applyBorder="1" applyAlignment="1">
      <alignment horizontal="justify" vertical="top" wrapText="1"/>
    </xf>
    <xf numFmtId="0" fontId="23" fillId="14" borderId="1" xfId="0" applyFont="1" applyFill="1" applyBorder="1" applyAlignment="1">
      <alignment horizontal="left" vertical="top" wrapText="1"/>
    </xf>
    <xf numFmtId="0" fontId="10" fillId="14" borderId="1" xfId="1" applyFont="1" applyFill="1" applyBorder="1" applyAlignment="1">
      <alignment horizontal="left" vertical="center" wrapText="1"/>
    </xf>
    <xf numFmtId="0" fontId="5" fillId="2" borderId="4" xfId="1" applyFont="1" applyFill="1" applyBorder="1" applyAlignment="1">
      <alignment horizontal="left" vertical="top" wrapText="1"/>
    </xf>
    <xf numFmtId="0" fontId="5" fillId="2" borderId="6" xfId="1" applyFont="1" applyFill="1" applyBorder="1" applyAlignment="1">
      <alignment horizontal="left" vertical="top" wrapText="1"/>
    </xf>
    <xf numFmtId="0" fontId="5" fillId="2" borderId="5" xfId="1" applyFont="1" applyFill="1" applyBorder="1" applyAlignment="1">
      <alignment horizontal="left" vertical="top" wrapText="1"/>
    </xf>
    <xf numFmtId="4" fontId="13" fillId="2" borderId="1" xfId="0" applyNumberFormat="1" applyFont="1" applyFill="1" applyBorder="1" applyAlignment="1">
      <alignment horizontal="center" vertical="top" wrapText="1"/>
    </xf>
    <xf numFmtId="0" fontId="5" fillId="2" borderId="1" xfId="1" applyFont="1" applyFill="1" applyBorder="1" applyAlignment="1">
      <alignment horizontal="left" vertical="top" wrapText="1"/>
    </xf>
    <xf numFmtId="0" fontId="10" fillId="2" borderId="4" xfId="0" applyFont="1" applyFill="1" applyBorder="1" applyAlignment="1">
      <alignment horizontal="justify" vertical="justify" wrapText="1"/>
    </xf>
    <xf numFmtId="0" fontId="10" fillId="2" borderId="6" xfId="0" applyFont="1" applyFill="1" applyBorder="1" applyAlignment="1">
      <alignment horizontal="justify" vertical="justify" wrapText="1"/>
    </xf>
    <xf numFmtId="0" fontId="10" fillId="2" borderId="5" xfId="0" applyFont="1" applyFill="1" applyBorder="1" applyAlignment="1">
      <alignment horizontal="justify" vertical="justify" wrapText="1"/>
    </xf>
    <xf numFmtId="0" fontId="5" fillId="2" borderId="1" xfId="1" applyFont="1" applyFill="1" applyBorder="1" applyAlignment="1">
      <alignment horizontal="left" vertical="center" wrapText="1"/>
    </xf>
    <xf numFmtId="0" fontId="46" fillId="14" borderId="1" xfId="0" applyFont="1" applyFill="1" applyBorder="1" applyAlignment="1">
      <alignment horizontal="left" vertical="top" wrapText="1"/>
    </xf>
    <xf numFmtId="0" fontId="6" fillId="3" borderId="10"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10" fillId="2" borderId="1" xfId="0" applyFont="1" applyFill="1" applyBorder="1" applyAlignment="1">
      <alignment horizontal="justify" vertical="top" wrapText="1"/>
    </xf>
    <xf numFmtId="0" fontId="6" fillId="2" borderId="4"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10" fillId="14" borderId="1" xfId="0" applyFont="1" applyFill="1" applyBorder="1" applyAlignment="1">
      <alignment horizontal="left" vertical="top" wrapText="1"/>
    </xf>
    <xf numFmtId="4" fontId="42" fillId="2" borderId="4" xfId="1" applyNumberFormat="1" applyFont="1" applyFill="1" applyBorder="1" applyAlignment="1">
      <alignment horizontal="justify" vertical="top" wrapText="1"/>
    </xf>
    <xf numFmtId="4" fontId="30" fillId="2" borderId="5" xfId="1" applyNumberFormat="1" applyFont="1" applyFill="1" applyBorder="1" applyAlignment="1">
      <alignment horizontal="justify" vertical="top" wrapText="1"/>
    </xf>
    <xf numFmtId="4" fontId="42" fillId="2" borderId="5" xfId="1" applyNumberFormat="1" applyFont="1" applyFill="1" applyBorder="1" applyAlignment="1">
      <alignment horizontal="justify" vertical="top" wrapText="1"/>
    </xf>
    <xf numFmtId="4" fontId="43" fillId="2" borderId="4" xfId="1" applyNumberFormat="1" applyFont="1" applyFill="1" applyBorder="1" applyAlignment="1">
      <alignment horizontal="justify" vertical="top" wrapText="1"/>
    </xf>
    <xf numFmtId="4" fontId="50" fillId="2" borderId="5" xfId="1" applyNumberFormat="1" applyFont="1" applyFill="1" applyBorder="1" applyAlignment="1">
      <alignment horizontal="justify" vertical="top" wrapText="1"/>
    </xf>
    <xf numFmtId="0" fontId="4" fillId="0" borderId="0" xfId="1" applyFont="1" applyBorder="1" applyAlignment="1">
      <alignment horizontal="center"/>
    </xf>
    <xf numFmtId="0" fontId="10" fillId="14" borderId="4" xfId="1" applyFont="1" applyFill="1" applyBorder="1" applyAlignment="1">
      <alignment horizontal="left" vertical="top" wrapText="1"/>
    </xf>
    <xf numFmtId="0" fontId="10" fillId="14" borderId="6" xfId="1" applyFont="1" applyFill="1" applyBorder="1" applyAlignment="1">
      <alignment horizontal="left" vertical="top" wrapText="1"/>
    </xf>
    <xf numFmtId="0" fontId="10" fillId="14" borderId="5" xfId="1" applyFont="1" applyFill="1" applyBorder="1" applyAlignment="1">
      <alignment horizontal="left" vertical="top" wrapText="1"/>
    </xf>
    <xf numFmtId="0" fontId="46" fillId="14" borderId="1" xfId="0" applyNumberFormat="1" applyFont="1" applyFill="1" applyBorder="1" applyAlignment="1">
      <alignment horizontal="left" vertical="top" wrapText="1"/>
    </xf>
    <xf numFmtId="0" fontId="46" fillId="14" borderId="4" xfId="0" applyFont="1" applyFill="1" applyBorder="1" applyAlignment="1">
      <alignment horizontal="left" vertical="top" wrapText="1"/>
    </xf>
    <xf numFmtId="0" fontId="46" fillId="14" borderId="6" xfId="0" applyFont="1" applyFill="1" applyBorder="1" applyAlignment="1">
      <alignment horizontal="left" vertical="top" wrapText="1"/>
    </xf>
    <xf numFmtId="0" fontId="46" fillId="14" borderId="5" xfId="0" applyFont="1" applyFill="1" applyBorder="1" applyAlignment="1">
      <alignment horizontal="left" vertical="top" wrapText="1"/>
    </xf>
    <xf numFmtId="4" fontId="41" fillId="2" borderId="1" xfId="1" applyNumberFormat="1" applyFont="1" applyFill="1" applyBorder="1" applyAlignment="1">
      <alignment horizontal="justify" vertical="top" wrapText="1"/>
    </xf>
    <xf numFmtId="0" fontId="46" fillId="14" borderId="4" xfId="0" applyNumberFormat="1" applyFont="1" applyFill="1" applyBorder="1" applyAlignment="1">
      <alignment horizontal="left" vertical="top" wrapText="1"/>
    </xf>
    <xf numFmtId="0" fontId="46" fillId="14" borderId="6" xfId="0" applyNumberFormat="1" applyFont="1" applyFill="1" applyBorder="1" applyAlignment="1">
      <alignment horizontal="left" vertical="top" wrapText="1"/>
    </xf>
    <xf numFmtId="0" fontId="46" fillId="14" borderId="5" xfId="0" applyNumberFormat="1" applyFont="1" applyFill="1" applyBorder="1" applyAlignment="1">
      <alignment horizontal="left" vertical="top" wrapText="1"/>
    </xf>
    <xf numFmtId="0" fontId="10" fillId="14" borderId="4" xfId="1" applyFont="1" applyFill="1" applyBorder="1" applyAlignment="1">
      <alignment horizontal="left" vertical="center" wrapText="1"/>
    </xf>
    <xf numFmtId="0" fontId="10" fillId="14" borderId="6" xfId="1" applyFont="1" applyFill="1" applyBorder="1" applyAlignment="1">
      <alignment horizontal="left" vertical="center" wrapText="1"/>
    </xf>
    <xf numFmtId="0" fontId="10" fillId="14" borderId="5" xfId="1" applyFont="1" applyFill="1" applyBorder="1" applyAlignment="1">
      <alignment horizontal="left" vertical="center" wrapText="1"/>
    </xf>
    <xf numFmtId="0" fontId="37" fillId="2" borderId="1" xfId="0" applyFont="1" applyFill="1" applyBorder="1" applyAlignment="1">
      <alignment horizontal="justify" vertical="top" wrapText="1"/>
    </xf>
    <xf numFmtId="0" fontId="46" fillId="2" borderId="1" xfId="0" applyFont="1" applyFill="1" applyBorder="1" applyAlignment="1">
      <alignment horizontal="left" vertical="top" wrapText="1"/>
    </xf>
    <xf numFmtId="0" fontId="37" fillId="2" borderId="4" xfId="0" applyFont="1" applyFill="1" applyBorder="1" applyAlignment="1">
      <alignment horizontal="left" vertical="top" wrapText="1"/>
    </xf>
    <xf numFmtId="0" fontId="37" fillId="2" borderId="6" xfId="0" applyFont="1" applyFill="1" applyBorder="1" applyAlignment="1">
      <alignment horizontal="left" vertical="top" wrapText="1"/>
    </xf>
    <xf numFmtId="0" fontId="37" fillId="2" borderId="5" xfId="0" applyFont="1" applyFill="1" applyBorder="1" applyAlignment="1">
      <alignment horizontal="left" vertical="top" wrapText="1"/>
    </xf>
    <xf numFmtId="4" fontId="26" fillId="8" borderId="4" xfId="1" applyNumberFormat="1" applyFont="1" applyFill="1" applyBorder="1" applyAlignment="1">
      <alignment horizontal="center" vertical="center" wrapText="1"/>
    </xf>
    <xf numFmtId="4" fontId="26" fillId="8" borderId="6" xfId="1" applyNumberFormat="1" applyFont="1" applyFill="1" applyBorder="1" applyAlignment="1">
      <alignment horizontal="center" vertical="center" wrapText="1"/>
    </xf>
    <xf numFmtId="4" fontId="26" fillId="8" borderId="5" xfId="1" applyNumberFormat="1" applyFont="1" applyFill="1" applyBorder="1" applyAlignment="1">
      <alignment horizontal="center" vertical="center" wrapText="1"/>
    </xf>
    <xf numFmtId="0" fontId="6" fillId="3" borderId="14" xfId="1" applyFont="1" applyFill="1" applyBorder="1" applyAlignment="1">
      <alignment horizontal="center" vertical="center" wrapText="1"/>
    </xf>
    <xf numFmtId="0" fontId="6" fillId="3" borderId="0" xfId="1" applyFont="1" applyFill="1" applyBorder="1" applyAlignment="1">
      <alignment horizontal="center" vertical="center" wrapText="1"/>
    </xf>
    <xf numFmtId="0" fontId="6" fillId="3" borderId="15" xfId="1" applyFont="1" applyFill="1" applyBorder="1" applyAlignment="1">
      <alignment horizontal="center" vertical="center" wrapText="1"/>
    </xf>
    <xf numFmtId="0" fontId="36" fillId="2" borderId="4" xfId="9" applyFont="1" applyFill="1" applyBorder="1" applyAlignment="1">
      <alignment horizontal="center"/>
    </xf>
    <xf numFmtId="0" fontId="36" fillId="2" borderId="6" xfId="9" applyFont="1" applyFill="1" applyBorder="1" applyAlignment="1">
      <alignment horizontal="center"/>
    </xf>
    <xf numFmtId="0" fontId="36" fillId="2" borderId="5" xfId="9" applyFont="1" applyFill="1" applyBorder="1" applyAlignment="1">
      <alignment horizontal="center"/>
    </xf>
    <xf numFmtId="0" fontId="23" fillId="6" borderId="1" xfId="0" applyFont="1" applyFill="1" applyBorder="1" applyAlignment="1">
      <alignment horizontal="justify" vertical="top" wrapText="1"/>
    </xf>
    <xf numFmtId="0" fontId="10" fillId="6" borderId="1" xfId="1" applyFont="1" applyFill="1" applyBorder="1" applyAlignment="1">
      <alignment horizontal="left" vertical="center" wrapText="1"/>
    </xf>
    <xf numFmtId="0" fontId="10" fillId="6" borderId="4" xfId="1" applyFont="1" applyFill="1" applyBorder="1" applyAlignment="1">
      <alignment horizontal="center" vertical="center" wrapText="1"/>
    </xf>
    <xf numFmtId="0" fontId="10" fillId="6" borderId="6" xfId="1" applyFont="1" applyFill="1" applyBorder="1" applyAlignment="1">
      <alignment horizontal="center" vertical="center" wrapText="1"/>
    </xf>
    <xf numFmtId="0" fontId="10" fillId="6" borderId="5" xfId="1" applyFont="1" applyFill="1" applyBorder="1" applyAlignment="1">
      <alignment horizontal="center" vertical="center" wrapText="1"/>
    </xf>
    <xf numFmtId="0" fontId="10" fillId="14" borderId="1" xfId="0" applyFont="1" applyFill="1" applyBorder="1" applyAlignment="1">
      <alignment horizontal="justify" vertical="justify" wrapText="1"/>
    </xf>
    <xf numFmtId="0" fontId="10" fillId="6" borderId="1" xfId="0" applyFont="1" applyFill="1" applyBorder="1" applyAlignment="1">
      <alignment horizontal="left" vertical="top" wrapText="1"/>
    </xf>
    <xf numFmtId="0" fontId="39" fillId="2" borderId="1" xfId="1" applyFont="1" applyFill="1" applyBorder="1" applyAlignment="1">
      <alignment horizontal="left" vertical="top" wrapText="1"/>
    </xf>
    <xf numFmtId="0" fontId="23" fillId="6" borderId="4" xfId="0" applyFont="1" applyFill="1" applyBorder="1" applyAlignment="1">
      <alignment horizontal="justify" vertical="justify" wrapText="1"/>
    </xf>
    <xf numFmtId="0" fontId="23" fillId="6" borderId="6" xfId="0" applyFont="1" applyFill="1" applyBorder="1" applyAlignment="1">
      <alignment horizontal="justify" vertical="justify" wrapText="1"/>
    </xf>
    <xf numFmtId="0" fontId="23" fillId="6" borderId="5" xfId="0" applyFont="1" applyFill="1" applyBorder="1" applyAlignment="1">
      <alignment horizontal="justify" vertical="justify" wrapText="1"/>
    </xf>
    <xf numFmtId="0" fontId="10" fillId="6" borderId="1" xfId="1" applyFont="1" applyFill="1" applyBorder="1" applyAlignment="1">
      <alignment horizontal="left" vertical="top" wrapText="1"/>
    </xf>
    <xf numFmtId="0" fontId="10" fillId="6" borderId="4" xfId="1" applyFont="1" applyFill="1" applyBorder="1" applyAlignment="1">
      <alignment horizontal="left" vertical="top" wrapText="1"/>
    </xf>
    <xf numFmtId="0" fontId="10" fillId="6" borderId="6" xfId="1" applyFont="1" applyFill="1" applyBorder="1" applyAlignment="1">
      <alignment horizontal="left" vertical="top" wrapText="1"/>
    </xf>
    <xf numFmtId="0" fontId="10" fillId="6" borderId="5" xfId="1" applyFont="1" applyFill="1" applyBorder="1" applyAlignment="1">
      <alignment horizontal="left" vertical="top" wrapText="1"/>
    </xf>
    <xf numFmtId="0" fontId="6" fillId="3" borderId="4"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23" fillId="14" borderId="4" xfId="0" applyNumberFormat="1" applyFont="1" applyFill="1" applyBorder="1" applyAlignment="1">
      <alignment horizontal="justify" vertical="justify" wrapText="1"/>
    </xf>
    <xf numFmtId="0" fontId="23" fillId="14" borderId="6" xfId="0" applyNumberFormat="1" applyFont="1" applyFill="1" applyBorder="1" applyAlignment="1">
      <alignment horizontal="justify" vertical="justify" wrapText="1"/>
    </xf>
    <xf numFmtId="0" fontId="23" fillId="14" borderId="5" xfId="0" applyNumberFormat="1" applyFont="1" applyFill="1" applyBorder="1" applyAlignment="1">
      <alignment horizontal="justify" vertical="justify" wrapText="1"/>
    </xf>
    <xf numFmtId="0" fontId="26" fillId="8" borderId="10" xfId="1" applyFont="1" applyFill="1" applyBorder="1" applyAlignment="1">
      <alignment horizontal="left" vertical="center" wrapText="1"/>
    </xf>
    <xf numFmtId="0" fontId="26" fillId="8" borderId="3" xfId="1" applyFont="1" applyFill="1" applyBorder="1" applyAlignment="1">
      <alignment horizontal="left" vertical="center" wrapText="1"/>
    </xf>
    <xf numFmtId="4" fontId="48" fillId="2" borderId="4" xfId="1" applyNumberFormat="1" applyFont="1" applyFill="1" applyBorder="1" applyAlignment="1">
      <alignment horizontal="justify" vertical="top" wrapText="1"/>
    </xf>
    <xf numFmtId="4" fontId="48" fillId="2" borderId="5" xfId="1" applyNumberFormat="1" applyFont="1" applyFill="1" applyBorder="1" applyAlignment="1">
      <alignment horizontal="justify" vertical="top" wrapText="1"/>
    </xf>
    <xf numFmtId="0" fontId="23" fillId="14" borderId="1" xfId="0" applyFont="1" applyFill="1" applyBorder="1" applyAlignment="1">
      <alignment horizontal="justify" vertical="center" wrapText="1"/>
    </xf>
    <xf numFmtId="0" fontId="10" fillId="2" borderId="4"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5" xfId="0" applyFont="1" applyFill="1" applyBorder="1" applyAlignment="1">
      <alignment horizontal="left" vertical="top" wrapText="1"/>
    </xf>
    <xf numFmtId="0" fontId="12" fillId="2" borderId="11" xfId="1" applyFont="1" applyFill="1" applyBorder="1" applyAlignment="1">
      <alignment horizontal="center" vertical="top" wrapText="1"/>
    </xf>
    <xf numFmtId="0" fontId="12" fillId="2" borderId="12" xfId="1" applyFont="1" applyFill="1" applyBorder="1" applyAlignment="1">
      <alignment horizontal="center" vertical="top" wrapText="1"/>
    </xf>
    <xf numFmtId="0" fontId="12" fillId="2" borderId="13" xfId="1" applyFont="1" applyFill="1" applyBorder="1" applyAlignment="1">
      <alignment horizontal="center" vertical="top" wrapText="1"/>
    </xf>
    <xf numFmtId="0" fontId="12" fillId="2" borderId="1" xfId="1" applyFont="1" applyFill="1" applyBorder="1" applyAlignment="1">
      <alignment horizontal="center" vertical="top" wrapText="1"/>
    </xf>
    <xf numFmtId="0" fontId="5" fillId="6" borderId="4" xfId="1" applyFont="1" applyFill="1" applyBorder="1" applyAlignment="1">
      <alignment horizontal="left" vertical="top" wrapText="1"/>
    </xf>
    <xf numFmtId="0" fontId="5" fillId="6" borderId="6" xfId="1" applyFont="1" applyFill="1" applyBorder="1" applyAlignment="1">
      <alignment horizontal="left" vertical="top" wrapText="1"/>
    </xf>
    <xf numFmtId="0" fontId="5" fillId="6" borderId="5" xfId="1" applyFont="1" applyFill="1" applyBorder="1" applyAlignment="1">
      <alignment horizontal="left" vertical="top" wrapText="1"/>
    </xf>
    <xf numFmtId="0" fontId="10" fillId="14" borderId="4" xfId="0" applyFont="1" applyFill="1" applyBorder="1" applyAlignment="1">
      <alignment horizontal="justify" vertical="justify" wrapText="1"/>
    </xf>
    <xf numFmtId="0" fontId="10" fillId="14" borderId="6" xfId="0" applyFont="1" applyFill="1" applyBorder="1" applyAlignment="1">
      <alignment horizontal="justify" vertical="justify" wrapText="1"/>
    </xf>
    <xf numFmtId="0" fontId="10" fillId="14" borderId="5" xfId="0" applyFont="1" applyFill="1" applyBorder="1" applyAlignment="1">
      <alignment horizontal="justify" vertical="justify" wrapText="1"/>
    </xf>
    <xf numFmtId="0" fontId="5" fillId="6" borderId="4" xfId="0" applyFont="1" applyFill="1" applyBorder="1" applyAlignment="1">
      <alignment horizontal="left" vertical="top" wrapText="1"/>
    </xf>
    <xf numFmtId="0" fontId="10" fillId="6" borderId="6" xfId="0" applyFont="1" applyFill="1" applyBorder="1" applyAlignment="1">
      <alignment horizontal="left" vertical="top" wrapText="1"/>
    </xf>
    <xf numFmtId="0" fontId="10" fillId="6" borderId="5" xfId="0" applyFont="1" applyFill="1" applyBorder="1" applyAlignment="1">
      <alignment horizontal="left" vertical="top" wrapText="1"/>
    </xf>
    <xf numFmtId="0" fontId="10" fillId="2" borderId="4" xfId="0" applyFont="1" applyFill="1" applyBorder="1" applyAlignment="1">
      <alignment horizontal="justify" vertical="top" wrapText="1"/>
    </xf>
    <xf numFmtId="0" fontId="10" fillId="2" borderId="6" xfId="0" applyFont="1" applyFill="1" applyBorder="1" applyAlignment="1">
      <alignment horizontal="justify" vertical="top" wrapText="1"/>
    </xf>
    <xf numFmtId="0" fontId="10" fillId="2" borderId="5" xfId="0" applyFont="1" applyFill="1" applyBorder="1" applyAlignment="1">
      <alignment horizontal="justify" vertical="top" wrapText="1"/>
    </xf>
    <xf numFmtId="0" fontId="5" fillId="14" borderId="4" xfId="0" applyFont="1" applyFill="1" applyBorder="1" applyAlignment="1">
      <alignment horizontal="justify" vertical="justify" wrapText="1"/>
    </xf>
    <xf numFmtId="0" fontId="5" fillId="14" borderId="6" xfId="0" applyFont="1" applyFill="1" applyBorder="1" applyAlignment="1">
      <alignment horizontal="justify" vertical="justify" wrapText="1"/>
    </xf>
    <xf numFmtId="0" fontId="5" fillId="14" borderId="5" xfId="0" applyFont="1" applyFill="1" applyBorder="1" applyAlignment="1">
      <alignment horizontal="justify" vertical="justify" wrapText="1"/>
    </xf>
    <xf numFmtId="0" fontId="10" fillId="15" borderId="1" xfId="1" applyFont="1" applyFill="1" applyBorder="1" applyAlignment="1">
      <alignment horizontal="left" vertical="center" wrapText="1"/>
    </xf>
    <xf numFmtId="0" fontId="10" fillId="6" borderId="1" xfId="1" applyFont="1" applyFill="1" applyBorder="1" applyAlignment="1">
      <alignment horizontal="center" vertical="center" wrapText="1"/>
    </xf>
    <xf numFmtId="0" fontId="23" fillId="0" borderId="1" xfId="1" applyFont="1" applyBorder="1" applyAlignment="1">
      <alignment horizontal="left" vertical="center" wrapText="1"/>
    </xf>
    <xf numFmtId="0" fontId="2" fillId="16" borderId="4" xfId="1" applyFont="1" applyFill="1" applyBorder="1" applyAlignment="1">
      <alignment horizontal="left" vertical="center" wrapText="1"/>
    </xf>
    <xf numFmtId="0" fontId="2" fillId="16" borderId="6" xfId="1" applyFont="1" applyFill="1" applyBorder="1" applyAlignment="1">
      <alignment horizontal="left" vertical="center" wrapText="1"/>
    </xf>
    <xf numFmtId="0" fontId="2" fillId="16" borderId="5" xfId="1" applyFont="1" applyFill="1" applyBorder="1" applyAlignment="1">
      <alignment horizontal="left" vertical="center" wrapText="1"/>
    </xf>
    <xf numFmtId="0" fontId="23" fillId="0" borderId="1" xfId="1" applyFont="1" applyBorder="1" applyAlignment="1">
      <alignment horizontal="left" vertical="top" wrapText="1"/>
    </xf>
    <xf numFmtId="0" fontId="10" fillId="15" borderId="4" xfId="0" applyFont="1" applyFill="1" applyBorder="1" applyAlignment="1">
      <alignment horizontal="left" vertical="top" wrapText="1"/>
    </xf>
    <xf numFmtId="0" fontId="10" fillId="15" borderId="6" xfId="0" applyFont="1" applyFill="1" applyBorder="1" applyAlignment="1">
      <alignment horizontal="left" vertical="top" wrapText="1"/>
    </xf>
    <xf numFmtId="0" fontId="10" fillId="15" borderId="5" xfId="0" applyFont="1" applyFill="1" applyBorder="1" applyAlignment="1">
      <alignment horizontal="left" vertical="top" wrapText="1"/>
    </xf>
    <xf numFmtId="0" fontId="5" fillId="15" borderId="4" xfId="0" applyFont="1" applyFill="1" applyBorder="1" applyAlignment="1">
      <alignment horizontal="justify" vertical="justify" wrapText="1"/>
    </xf>
    <xf numFmtId="0" fontId="5" fillId="15" borderId="6" xfId="0" applyFont="1" applyFill="1" applyBorder="1" applyAlignment="1">
      <alignment horizontal="justify" vertical="justify" wrapText="1"/>
    </xf>
    <xf numFmtId="0" fontId="5" fillId="15" borderId="5" xfId="0" applyFont="1" applyFill="1" applyBorder="1" applyAlignment="1">
      <alignment horizontal="justify" vertical="justify" wrapText="1"/>
    </xf>
    <xf numFmtId="0" fontId="5" fillId="14" borderId="1" xfId="0" applyFont="1" applyFill="1" applyBorder="1" applyAlignment="1">
      <alignment horizontal="justify" vertical="justify" wrapText="1"/>
    </xf>
    <xf numFmtId="0" fontId="4" fillId="2" borderId="4" xfId="1" applyFont="1" applyFill="1" applyBorder="1" applyAlignment="1">
      <alignment horizontal="center"/>
    </xf>
    <xf numFmtId="0" fontId="4" fillId="2" borderId="6" xfId="1" applyFont="1" applyFill="1" applyBorder="1" applyAlignment="1">
      <alignment horizontal="center"/>
    </xf>
    <xf numFmtId="0" fontId="4" fillId="2" borderId="5" xfId="1" applyFont="1" applyFill="1" applyBorder="1" applyAlignment="1">
      <alignment horizontal="center"/>
    </xf>
    <xf numFmtId="4" fontId="48" fillId="2" borderId="11" xfId="1" applyNumberFormat="1" applyFont="1" applyFill="1" applyBorder="1" applyAlignment="1">
      <alignment horizontal="justify" vertical="top" wrapText="1"/>
    </xf>
    <xf numFmtId="4" fontId="48" fillId="2" borderId="13" xfId="1" applyNumberFormat="1" applyFont="1" applyFill="1" applyBorder="1" applyAlignment="1">
      <alignment horizontal="justify" vertical="top" wrapText="1"/>
    </xf>
    <xf numFmtId="4" fontId="48" fillId="2" borderId="10" xfId="1" applyNumberFormat="1" applyFont="1" applyFill="1" applyBorder="1" applyAlignment="1">
      <alignment horizontal="justify" vertical="top" wrapText="1"/>
    </xf>
    <xf numFmtId="4" fontId="48" fillId="2" borderId="9" xfId="1" applyNumberFormat="1" applyFont="1" applyFill="1" applyBorder="1" applyAlignment="1">
      <alignment horizontal="justify" vertical="top" wrapText="1"/>
    </xf>
    <xf numFmtId="0" fontId="2" fillId="8" borderId="10"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3" fillId="2" borderId="4" xfId="4" applyNumberFormat="1" applyFont="1" applyFill="1" applyBorder="1" applyAlignment="1">
      <alignment horizontal="center" vertical="top" wrapText="1"/>
    </xf>
    <xf numFmtId="0" fontId="3" fillId="2" borderId="6" xfId="4" applyNumberFormat="1" applyFont="1" applyFill="1" applyBorder="1" applyAlignment="1">
      <alignment horizontal="center" vertical="top" wrapText="1"/>
    </xf>
    <xf numFmtId="0" fontId="3" fillId="2" borderId="5" xfId="4" applyNumberFormat="1" applyFont="1" applyFill="1" applyBorder="1" applyAlignment="1">
      <alignment horizontal="center" vertical="top" wrapText="1"/>
    </xf>
    <xf numFmtId="0" fontId="10" fillId="15" borderId="4" xfId="1" applyFont="1" applyFill="1" applyBorder="1" applyAlignment="1">
      <alignment horizontal="left" vertical="top" wrapText="1"/>
    </xf>
    <xf numFmtId="0" fontId="10" fillId="15" borderId="6" xfId="1" applyFont="1" applyFill="1" applyBorder="1" applyAlignment="1">
      <alignment horizontal="left" vertical="top" wrapText="1"/>
    </xf>
    <xf numFmtId="0" fontId="10" fillId="15" borderId="5" xfId="1" applyFont="1" applyFill="1" applyBorder="1" applyAlignment="1">
      <alignment horizontal="left" vertical="top" wrapText="1"/>
    </xf>
    <xf numFmtId="0" fontId="26" fillId="8" borderId="5" xfId="1" applyFont="1" applyFill="1" applyBorder="1" applyAlignment="1">
      <alignment horizontal="left" vertical="center" wrapText="1"/>
    </xf>
    <xf numFmtId="0" fontId="23" fillId="2" borderId="4" xfId="0" applyFont="1" applyFill="1" applyBorder="1" applyAlignment="1">
      <alignment horizontal="justify" vertical="justify" wrapText="1"/>
    </xf>
    <xf numFmtId="0" fontId="23" fillId="2" borderId="6" xfId="0" applyFont="1" applyFill="1" applyBorder="1" applyAlignment="1">
      <alignment horizontal="justify" vertical="justify" wrapText="1"/>
    </xf>
    <xf numFmtId="0" fontId="23" fillId="2" borderId="5" xfId="0" applyFont="1" applyFill="1" applyBorder="1" applyAlignment="1">
      <alignment horizontal="justify" vertical="justify" wrapText="1"/>
    </xf>
    <xf numFmtId="0" fontId="51" fillId="2" borderId="4" xfId="0" applyFont="1" applyFill="1" applyBorder="1" applyAlignment="1">
      <alignment horizontal="justify" vertical="justify" wrapText="1"/>
    </xf>
    <xf numFmtId="0" fontId="51" fillId="2" borderId="6" xfId="0" applyFont="1" applyFill="1" applyBorder="1" applyAlignment="1">
      <alignment horizontal="justify" vertical="justify" wrapText="1"/>
    </xf>
    <xf numFmtId="0" fontId="51" fillId="2" borderId="5" xfId="0" applyFont="1" applyFill="1" applyBorder="1" applyAlignment="1">
      <alignment horizontal="justify" vertical="justify" wrapText="1"/>
    </xf>
    <xf numFmtId="0" fontId="23" fillId="0" borderId="4" xfId="1" applyFont="1" applyBorder="1" applyAlignment="1">
      <alignment horizontal="left" vertical="center" wrapText="1"/>
    </xf>
    <xf numFmtId="0" fontId="23" fillId="0" borderId="6" xfId="1" applyFont="1" applyBorder="1" applyAlignment="1">
      <alignment horizontal="left" vertical="center" wrapText="1"/>
    </xf>
    <xf numFmtId="0" fontId="23" fillId="0" borderId="5" xfId="1" applyFont="1" applyBorder="1" applyAlignment="1">
      <alignment horizontal="left" vertical="center" wrapText="1"/>
    </xf>
    <xf numFmtId="0" fontId="23" fillId="2" borderId="4"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23" fillId="2" borderId="5" xfId="0" applyFont="1" applyFill="1" applyBorder="1" applyAlignment="1">
      <alignment horizontal="left" vertical="center" wrapText="1"/>
    </xf>
    <xf numFmtId="0" fontId="5" fillId="2" borderId="1" xfId="0" applyFont="1" applyFill="1" applyBorder="1" applyAlignment="1">
      <alignment horizontal="justify" vertical="top" wrapText="1"/>
    </xf>
    <xf numFmtId="0" fontId="3" fillId="2" borderId="4" xfId="0" applyFont="1" applyFill="1" applyBorder="1" applyAlignment="1">
      <alignment horizontal="justify" vertical="top" wrapText="1"/>
    </xf>
    <xf numFmtId="0" fontId="3" fillId="2" borderId="6" xfId="0" applyFont="1" applyFill="1" applyBorder="1" applyAlignment="1">
      <alignment horizontal="justify" vertical="top" wrapText="1"/>
    </xf>
    <xf numFmtId="0" fontId="3" fillId="2" borderId="5" xfId="0" applyFont="1" applyFill="1" applyBorder="1" applyAlignment="1">
      <alignment horizontal="justify" vertical="top" wrapText="1"/>
    </xf>
    <xf numFmtId="0" fontId="10" fillId="15" borderId="1" xfId="0" applyFont="1" applyFill="1" applyBorder="1" applyAlignment="1">
      <alignment horizontal="left" vertical="top" wrapText="1"/>
    </xf>
    <xf numFmtId="0" fontId="20" fillId="4" borderId="1" xfId="1" applyFont="1" applyFill="1" applyBorder="1" applyAlignment="1">
      <alignment horizontal="center" vertical="center" wrapText="1"/>
    </xf>
    <xf numFmtId="0" fontId="5" fillId="15" borderId="4" xfId="0" applyFont="1" applyFill="1" applyBorder="1" applyAlignment="1">
      <alignment horizontal="left" vertical="top" wrapText="1"/>
    </xf>
    <xf numFmtId="0" fontId="5" fillId="15" borderId="6" xfId="0" applyFont="1" applyFill="1" applyBorder="1" applyAlignment="1">
      <alignment horizontal="left" vertical="top" wrapText="1"/>
    </xf>
    <xf numFmtId="0" fontId="5" fillId="15" borderId="5" xfId="0" applyFont="1" applyFill="1" applyBorder="1" applyAlignment="1">
      <alignment horizontal="left" vertical="top" wrapText="1"/>
    </xf>
    <xf numFmtId="0" fontId="4" fillId="0" borderId="4" xfId="1" applyFont="1" applyBorder="1" applyAlignment="1">
      <alignment horizontal="justify" vertical="top"/>
    </xf>
    <xf numFmtId="0" fontId="4" fillId="0" borderId="6" xfId="1" applyFont="1" applyBorder="1" applyAlignment="1">
      <alignment horizontal="justify" vertical="top"/>
    </xf>
    <xf numFmtId="0" fontId="4" fillId="0" borderId="5" xfId="1" applyFont="1" applyBorder="1" applyAlignment="1">
      <alignment horizontal="justify" vertical="top"/>
    </xf>
    <xf numFmtId="0" fontId="5" fillId="15" borderId="1" xfId="0" applyFont="1" applyFill="1" applyBorder="1" applyAlignment="1">
      <alignment horizontal="justify" vertical="justify" wrapText="1"/>
    </xf>
    <xf numFmtId="0" fontId="4" fillId="2" borderId="1" xfId="1" applyFont="1" applyFill="1" applyBorder="1" applyAlignment="1">
      <alignment horizontal="center"/>
    </xf>
    <xf numFmtId="2" fontId="4" fillId="2" borderId="4" xfId="1" applyNumberFormat="1" applyFont="1" applyFill="1" applyBorder="1" applyAlignment="1">
      <alignment horizontal="center" vertical="top"/>
    </xf>
    <xf numFmtId="2" fontId="4" fillId="2" borderId="6" xfId="1" applyNumberFormat="1" applyFont="1" applyFill="1" applyBorder="1" applyAlignment="1">
      <alignment horizontal="center" vertical="top"/>
    </xf>
    <xf numFmtId="2" fontId="4" fillId="2" borderId="5" xfId="1" applyNumberFormat="1" applyFont="1" applyFill="1" applyBorder="1" applyAlignment="1">
      <alignment horizontal="center" vertical="top"/>
    </xf>
    <xf numFmtId="0" fontId="23" fillId="2" borderId="1" xfId="0" applyFont="1" applyFill="1" applyBorder="1" applyAlignment="1">
      <alignment horizontal="left" vertical="center" wrapText="1"/>
    </xf>
    <xf numFmtId="0" fontId="23" fillId="2" borderId="1" xfId="0" applyFont="1" applyFill="1" applyBorder="1" applyAlignment="1">
      <alignment horizontal="justify" vertical="justify" wrapText="1"/>
    </xf>
    <xf numFmtId="0" fontId="46" fillId="2" borderId="4" xfId="0" applyFont="1" applyFill="1" applyBorder="1" applyAlignment="1">
      <alignment vertical="top" wrapText="1"/>
    </xf>
    <xf numFmtId="0" fontId="46" fillId="2" borderId="6" xfId="0" applyFont="1" applyFill="1" applyBorder="1" applyAlignment="1">
      <alignment vertical="top" wrapText="1"/>
    </xf>
    <xf numFmtId="0" fontId="46" fillId="2" borderId="5" xfId="0" applyFont="1" applyFill="1" applyBorder="1" applyAlignment="1">
      <alignment vertical="top" wrapText="1"/>
    </xf>
    <xf numFmtId="0" fontId="11" fillId="3" borderId="10"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0" fillId="15" borderId="1" xfId="1" applyFont="1" applyFill="1" applyBorder="1" applyAlignment="1">
      <alignment horizontal="left" vertical="top" wrapText="1"/>
    </xf>
    <xf numFmtId="2" fontId="19" fillId="2" borderId="4" xfId="0" applyNumberFormat="1" applyFont="1" applyFill="1" applyBorder="1" applyAlignment="1">
      <alignment horizontal="justify" vertical="top" wrapText="1"/>
    </xf>
    <xf numFmtId="2" fontId="19" fillId="2" borderId="6" xfId="0" applyNumberFormat="1" applyFont="1" applyFill="1" applyBorder="1" applyAlignment="1">
      <alignment horizontal="justify" vertical="top" wrapText="1"/>
    </xf>
    <xf numFmtId="2" fontId="19" fillId="2" borderId="5" xfId="0" applyNumberFormat="1" applyFont="1" applyFill="1" applyBorder="1" applyAlignment="1">
      <alignment horizontal="justify" vertical="top" wrapText="1"/>
    </xf>
    <xf numFmtId="0" fontId="2" fillId="10" borderId="4" xfId="1" applyFont="1" applyFill="1" applyBorder="1" applyAlignment="1">
      <alignment horizontal="left" vertical="center" wrapText="1"/>
    </xf>
    <xf numFmtId="0" fontId="2" fillId="10" borderId="6" xfId="1" applyFont="1" applyFill="1" applyBorder="1" applyAlignment="1">
      <alignment horizontal="left" vertical="center" wrapText="1"/>
    </xf>
    <xf numFmtId="0" fontId="2" fillId="10" borderId="5" xfId="1" applyFont="1" applyFill="1" applyBorder="1" applyAlignment="1">
      <alignment horizontal="left" vertical="center" wrapText="1"/>
    </xf>
    <xf numFmtId="0" fontId="26" fillId="10" borderId="4" xfId="1" applyFont="1" applyFill="1" applyBorder="1" applyAlignment="1">
      <alignment horizontal="left" vertical="center"/>
    </xf>
    <xf numFmtId="0" fontId="26" fillId="10" borderId="6" xfId="1" applyFont="1" applyFill="1" applyBorder="1" applyAlignment="1">
      <alignment horizontal="left" vertical="center"/>
    </xf>
    <xf numFmtId="0" fontId="26" fillId="10" borderId="5" xfId="1" applyFont="1" applyFill="1" applyBorder="1" applyAlignment="1">
      <alignment horizontal="left" vertical="center"/>
    </xf>
    <xf numFmtId="0" fontId="10" fillId="6" borderId="1" xfId="1" applyFont="1" applyFill="1" applyBorder="1" applyAlignment="1">
      <alignment horizontal="center" vertical="top" wrapText="1"/>
    </xf>
    <xf numFmtId="0" fontId="23" fillId="14" borderId="4" xfId="0" applyFont="1" applyFill="1" applyBorder="1" applyAlignment="1">
      <alignment horizontal="justify" vertical="justify" wrapText="1"/>
    </xf>
    <xf numFmtId="0" fontId="23" fillId="14" borderId="6" xfId="0" applyFont="1" applyFill="1" applyBorder="1" applyAlignment="1">
      <alignment horizontal="justify" vertical="justify" wrapText="1"/>
    </xf>
    <xf numFmtId="0" fontId="23" fillId="14" borderId="5" xfId="0" applyFont="1" applyFill="1" applyBorder="1" applyAlignment="1">
      <alignment horizontal="justify" vertical="justify" wrapText="1"/>
    </xf>
    <xf numFmtId="0" fontId="5" fillId="2" borderId="4" xfId="1"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5" xfId="1" applyFont="1" applyFill="1" applyBorder="1" applyAlignment="1">
      <alignment horizontal="left" vertical="center" wrapText="1"/>
    </xf>
  </cellXfs>
  <cellStyles count="13">
    <cellStyle name="Estilo 1" xfId="11"/>
    <cellStyle name="Millares" xfId="10" builtinId="3"/>
    <cellStyle name="Millares 2" xfId="6"/>
    <cellStyle name="Millares 2 2" xfId="8"/>
    <cellStyle name="Normal" xfId="0" builtinId="0"/>
    <cellStyle name="Normal 2" xfId="3"/>
    <cellStyle name="Normal 2 2 2" xfId="4"/>
    <cellStyle name="Normal 3" xfId="5"/>
    <cellStyle name="Normal 3 3" xfId="2"/>
    <cellStyle name="Normal 4" xfId="1"/>
    <cellStyle name="Normal_Xl0000062" xfId="9"/>
    <cellStyle name="Porcentaje" xfId="12" builtinId="5"/>
    <cellStyle name="Porcentaje 2" xfId="7"/>
  </cellStyles>
  <dxfs count="0"/>
  <tableStyles count="0" defaultTableStyle="TableStyleMedium9" defaultPivotStyle="PivotStyleLight16"/>
  <colors>
    <mruColors>
      <color rgb="FFA1E4F1"/>
      <color rgb="FF1B98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134868</xdr:colOff>
      <xdr:row>0</xdr:row>
      <xdr:rowOff>1</xdr:rowOff>
    </xdr:from>
    <xdr:to>
      <xdr:col>5</xdr:col>
      <xdr:colOff>557413</xdr:colOff>
      <xdr:row>1</xdr:row>
      <xdr:rowOff>8429</xdr:rowOff>
    </xdr:to>
    <xdr:pic>
      <xdr:nvPicPr>
        <xdr:cNvPr id="5" name="Imagen 4"/>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868" y="1"/>
          <a:ext cx="2217965" cy="531039"/>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CP372"/>
  <sheetViews>
    <sheetView showGridLines="0" showZeros="0" tabSelected="1" topLeftCell="I8" zoomScaleNormal="100" zoomScaleSheetLayoutView="113" zoomScalePageLayoutView="70" workbookViewId="0">
      <selection activeCell="I11" sqref="I11"/>
    </sheetView>
  </sheetViews>
  <sheetFormatPr baseColWidth="10" defaultColWidth="11.42578125" defaultRowHeight="12.75" outlineLevelRow="2" outlineLevelCol="3" x14ac:dyDescent="0.2"/>
  <cols>
    <col min="1" max="1" width="8.42578125" style="210" hidden="1" customWidth="1"/>
    <col min="2" max="2" width="4.140625" style="210" customWidth="1"/>
    <col min="3" max="3" width="12.28515625" style="210" customWidth="1"/>
    <col min="4" max="4" width="2.85546875" style="210" customWidth="1"/>
    <col min="5" max="5" width="7.5703125" style="210" customWidth="1"/>
    <col min="6" max="6" width="22.7109375" style="210" customWidth="1"/>
    <col min="7" max="7" width="23" style="210" customWidth="1"/>
    <col min="8" max="8" width="12.7109375" style="210" customWidth="1"/>
    <col min="9" max="9" width="10.42578125" style="210" customWidth="1"/>
    <col min="10" max="10" width="10" style="210" customWidth="1"/>
    <col min="11" max="13" width="9" style="210" hidden="1" customWidth="1" outlineLevel="2"/>
    <col min="14" max="14" width="10.85546875" style="210" hidden="1" customWidth="1" outlineLevel="2"/>
    <col min="15" max="15" width="14.7109375" style="210" customWidth="1" outlineLevel="1" collapsed="1"/>
    <col min="16" max="16" width="9.5703125" style="210" customWidth="1" outlineLevel="3"/>
    <col min="17" max="17" width="7.28515625" style="210" customWidth="1" outlineLevel="3"/>
    <col min="18" max="18" width="7.42578125" style="210" customWidth="1" outlineLevel="3"/>
    <col min="19" max="19" width="7.28515625" style="210" customWidth="1" outlineLevel="3"/>
    <col min="20" max="20" width="14.140625" style="210" customWidth="1" outlineLevel="2"/>
    <col min="21" max="21" width="8.42578125" style="210" hidden="1" customWidth="1" outlineLevel="3"/>
    <col min="22" max="22" width="7.5703125" style="210" hidden="1" customWidth="1" outlineLevel="3"/>
    <col min="23" max="23" width="7.7109375" style="210" hidden="1" customWidth="1" outlineLevel="3"/>
    <col min="24" max="24" width="7.42578125" style="210" hidden="1" customWidth="1" outlineLevel="3"/>
    <col min="25" max="25" width="16.42578125" style="210" hidden="1" customWidth="1" outlineLevel="2" collapsed="1"/>
    <col min="26" max="26" width="14" style="210" customWidth="1" outlineLevel="1" collapsed="1"/>
    <col min="27" max="27" width="10.5703125" style="210" customWidth="1" outlineLevel="1"/>
    <col min="28" max="28" width="15.85546875" style="210" customWidth="1"/>
    <col min="29" max="29" width="16.42578125" style="210" customWidth="1"/>
    <col min="30" max="30" width="0.140625" style="210" customWidth="1"/>
    <col min="31" max="32" width="13.5703125" style="210" bestFit="1" customWidth="1"/>
    <col min="33" max="16384" width="11.42578125" style="210"/>
  </cols>
  <sheetData>
    <row r="1" spans="1:94" ht="41.25" customHeight="1" x14ac:dyDescent="0.2">
      <c r="B1" s="490" t="s">
        <v>233</v>
      </c>
      <c r="C1" s="491"/>
      <c r="D1" s="491"/>
      <c r="E1" s="491"/>
      <c r="F1" s="491"/>
      <c r="G1" s="491"/>
      <c r="H1" s="491"/>
      <c r="I1" s="491"/>
      <c r="J1" s="491"/>
      <c r="K1" s="491"/>
      <c r="L1" s="491"/>
      <c r="M1" s="491"/>
      <c r="N1" s="491"/>
      <c r="O1" s="491"/>
      <c r="P1" s="491"/>
      <c r="Q1" s="491"/>
      <c r="R1" s="491"/>
      <c r="S1" s="491"/>
      <c r="T1" s="491"/>
      <c r="U1" s="491"/>
      <c r="V1" s="491"/>
      <c r="W1" s="491"/>
      <c r="X1" s="491"/>
      <c r="Y1" s="491"/>
      <c r="Z1" s="491"/>
      <c r="AA1" s="491"/>
      <c r="AB1" s="491"/>
      <c r="AC1" s="492"/>
    </row>
    <row r="2" spans="1:94" s="190" customFormat="1" ht="15.75" customHeight="1" x14ac:dyDescent="0.2">
      <c r="A2" s="188"/>
      <c r="B2" s="517" t="s">
        <v>227</v>
      </c>
      <c r="C2" s="517"/>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189"/>
    </row>
    <row r="3" spans="1:94" s="188" customFormat="1" ht="21.75" customHeight="1" x14ac:dyDescent="0.2">
      <c r="B3" s="471" t="s">
        <v>140</v>
      </c>
      <c r="C3" s="471"/>
      <c r="D3" s="471"/>
      <c r="E3" s="529" t="s">
        <v>0</v>
      </c>
      <c r="F3" s="529"/>
      <c r="G3" s="529"/>
      <c r="H3" s="529"/>
      <c r="I3" s="529"/>
      <c r="J3" s="529"/>
      <c r="K3" s="529"/>
      <c r="L3" s="529"/>
      <c r="M3" s="529"/>
      <c r="N3" s="529"/>
      <c r="O3" s="529"/>
      <c r="P3" s="529"/>
      <c r="Q3" s="529"/>
      <c r="R3" s="529"/>
      <c r="S3" s="529"/>
      <c r="T3" s="529"/>
      <c r="U3" s="529"/>
      <c r="V3" s="529"/>
      <c r="W3" s="529"/>
      <c r="X3" s="529"/>
      <c r="Y3" s="529"/>
      <c r="Z3" s="529"/>
      <c r="AA3" s="529"/>
      <c r="AB3" s="529"/>
      <c r="AC3" s="529"/>
    </row>
    <row r="4" spans="1:94" s="188" customFormat="1" ht="30.75" customHeight="1" x14ac:dyDescent="0.2">
      <c r="B4" s="475" t="s">
        <v>141</v>
      </c>
      <c r="C4" s="475"/>
      <c r="D4" s="475"/>
      <c r="E4" s="530" t="s">
        <v>1</v>
      </c>
      <c r="F4" s="530"/>
      <c r="G4" s="530"/>
      <c r="H4" s="530"/>
      <c r="I4" s="530"/>
      <c r="J4" s="530"/>
      <c r="K4" s="530"/>
      <c r="L4" s="530"/>
      <c r="M4" s="530"/>
      <c r="N4" s="530"/>
      <c r="O4" s="530"/>
      <c r="P4" s="530"/>
      <c r="Q4" s="530"/>
      <c r="R4" s="530"/>
      <c r="S4" s="530"/>
      <c r="T4" s="530"/>
      <c r="U4" s="530"/>
      <c r="V4" s="530"/>
      <c r="W4" s="530"/>
      <c r="X4" s="530"/>
      <c r="Y4" s="530"/>
      <c r="Z4" s="530"/>
      <c r="AA4" s="530"/>
      <c r="AB4" s="530"/>
      <c r="AC4" s="530"/>
    </row>
    <row r="5" spans="1:94" s="188" customFormat="1" ht="30.75" customHeight="1" x14ac:dyDescent="0.2">
      <c r="B5" s="475" t="s">
        <v>142</v>
      </c>
      <c r="C5" s="475"/>
      <c r="D5" s="475"/>
      <c r="E5" s="500" t="s">
        <v>89</v>
      </c>
      <c r="F5" s="501"/>
      <c r="G5" s="501"/>
      <c r="H5" s="501"/>
      <c r="I5" s="501"/>
      <c r="J5" s="501"/>
      <c r="K5" s="501"/>
      <c r="L5" s="501"/>
      <c r="M5" s="501"/>
      <c r="N5" s="501"/>
      <c r="O5" s="501"/>
      <c r="P5" s="501"/>
      <c r="Q5" s="501"/>
      <c r="R5" s="501"/>
      <c r="S5" s="501"/>
      <c r="T5" s="501"/>
      <c r="U5" s="501"/>
      <c r="V5" s="501"/>
      <c r="W5" s="501"/>
      <c r="X5" s="501"/>
      <c r="Y5" s="501"/>
      <c r="Z5" s="501"/>
      <c r="AA5" s="501"/>
      <c r="AB5" s="501"/>
      <c r="AC5" s="502"/>
    </row>
    <row r="6" spans="1:94" s="188" customFormat="1" ht="179.25" customHeight="1" x14ac:dyDescent="0.2">
      <c r="B6" s="506" t="s">
        <v>2</v>
      </c>
      <c r="C6" s="507"/>
      <c r="D6" s="508"/>
      <c r="E6" s="503" t="s">
        <v>417</v>
      </c>
      <c r="F6" s="504"/>
      <c r="G6" s="504"/>
      <c r="H6" s="504"/>
      <c r="I6" s="504"/>
      <c r="J6" s="504"/>
      <c r="K6" s="504"/>
      <c r="L6" s="504"/>
      <c r="M6" s="504"/>
      <c r="N6" s="504"/>
      <c r="O6" s="504"/>
      <c r="P6" s="504"/>
      <c r="Q6" s="504"/>
      <c r="R6" s="504"/>
      <c r="S6" s="504"/>
      <c r="T6" s="504"/>
      <c r="U6" s="504"/>
      <c r="V6" s="504"/>
      <c r="W6" s="504"/>
      <c r="X6" s="504"/>
      <c r="Y6" s="504"/>
      <c r="Z6" s="504"/>
      <c r="AA6" s="504"/>
      <c r="AB6" s="504"/>
      <c r="AC6" s="505"/>
    </row>
    <row r="7" spans="1:94" ht="27" customHeight="1" x14ac:dyDescent="0.2">
      <c r="B7" s="471" t="s">
        <v>90</v>
      </c>
      <c r="C7" s="471"/>
      <c r="D7" s="471"/>
      <c r="E7" s="509" t="s">
        <v>91</v>
      </c>
      <c r="F7" s="510"/>
      <c r="G7" s="510"/>
      <c r="H7" s="510"/>
      <c r="I7" s="510"/>
      <c r="J7" s="510"/>
      <c r="K7" s="510"/>
      <c r="L7" s="510"/>
      <c r="M7" s="510"/>
      <c r="N7" s="510"/>
      <c r="O7" s="510"/>
      <c r="P7" s="510"/>
      <c r="Q7" s="510"/>
      <c r="R7" s="510"/>
      <c r="S7" s="510"/>
      <c r="T7" s="510"/>
      <c r="U7" s="510"/>
      <c r="V7" s="510"/>
      <c r="W7" s="510"/>
      <c r="X7" s="510"/>
      <c r="Y7" s="510"/>
      <c r="Z7" s="510"/>
      <c r="AA7" s="510"/>
      <c r="AB7" s="510"/>
      <c r="AC7" s="511"/>
    </row>
    <row r="8" spans="1:94" s="229" customFormat="1" ht="16.5" customHeight="1" x14ac:dyDescent="0.2">
      <c r="B8" s="472" t="s">
        <v>358</v>
      </c>
      <c r="C8" s="473"/>
      <c r="D8" s="473"/>
      <c r="E8" s="473"/>
      <c r="F8" s="473"/>
      <c r="G8" s="473"/>
      <c r="H8" s="473"/>
      <c r="I8" s="473"/>
      <c r="J8" s="473"/>
      <c r="K8" s="473"/>
      <c r="L8" s="473"/>
      <c r="M8" s="473"/>
      <c r="N8" s="473"/>
      <c r="O8" s="473"/>
      <c r="P8" s="473"/>
      <c r="Q8" s="473"/>
      <c r="R8" s="473"/>
      <c r="S8" s="473"/>
      <c r="T8" s="473"/>
      <c r="U8" s="473"/>
      <c r="V8" s="473"/>
      <c r="W8" s="473"/>
      <c r="X8" s="473"/>
      <c r="Y8" s="473"/>
      <c r="Z8" s="473"/>
      <c r="AA8" s="473"/>
      <c r="AB8" s="473"/>
      <c r="AC8" s="474"/>
      <c r="AE8" s="188"/>
      <c r="AF8" s="188"/>
      <c r="AG8" s="188"/>
      <c r="AH8" s="188"/>
      <c r="AI8" s="188"/>
      <c r="AJ8" s="188"/>
      <c r="AK8" s="188"/>
      <c r="AL8" s="188"/>
      <c r="AM8" s="188"/>
      <c r="AN8" s="188"/>
      <c r="AO8" s="188"/>
      <c r="AP8" s="188"/>
      <c r="AQ8" s="188"/>
      <c r="AR8" s="188"/>
      <c r="AS8" s="188"/>
      <c r="AT8" s="188"/>
      <c r="AU8" s="188"/>
      <c r="AV8" s="188"/>
      <c r="AW8" s="188"/>
      <c r="AX8" s="188"/>
      <c r="AY8" s="188"/>
      <c r="AZ8" s="188"/>
      <c r="BA8" s="188"/>
      <c r="BB8" s="188"/>
      <c r="BC8" s="188"/>
      <c r="BD8" s="188"/>
      <c r="BE8" s="188"/>
      <c r="BF8" s="188"/>
      <c r="BG8" s="188"/>
      <c r="BH8" s="188"/>
      <c r="BI8" s="188"/>
      <c r="BJ8" s="188"/>
      <c r="BK8" s="188"/>
      <c r="BL8" s="188"/>
      <c r="BM8" s="188"/>
      <c r="BN8" s="188"/>
      <c r="BO8" s="188"/>
      <c r="BP8" s="188"/>
      <c r="BQ8" s="188"/>
      <c r="BR8" s="188"/>
      <c r="BS8" s="188"/>
      <c r="BT8" s="188"/>
      <c r="BU8" s="188"/>
      <c r="BV8" s="188"/>
      <c r="BW8" s="188"/>
      <c r="BX8" s="188"/>
      <c r="BY8" s="188"/>
      <c r="BZ8" s="188"/>
      <c r="CA8" s="188"/>
      <c r="CB8" s="188"/>
      <c r="CC8" s="188"/>
      <c r="CD8" s="188"/>
      <c r="CE8" s="188"/>
      <c r="CF8" s="188"/>
      <c r="CG8" s="188"/>
      <c r="CH8" s="188"/>
      <c r="CI8" s="188"/>
      <c r="CJ8" s="188"/>
      <c r="CK8" s="188"/>
      <c r="CL8" s="188"/>
      <c r="CM8" s="188"/>
      <c r="CN8" s="188"/>
      <c r="CO8" s="188"/>
      <c r="CP8" s="188"/>
    </row>
    <row r="9" spans="1:94" s="230" customFormat="1" ht="17.25" customHeight="1" x14ac:dyDescent="0.2">
      <c r="B9" s="496" t="s">
        <v>93</v>
      </c>
      <c r="C9" s="497"/>
      <c r="D9" s="498"/>
      <c r="E9" s="476" t="s">
        <v>92</v>
      </c>
      <c r="F9" s="477"/>
      <c r="G9" s="477"/>
      <c r="H9" s="477"/>
      <c r="I9" s="477"/>
      <c r="J9" s="477"/>
      <c r="K9" s="477"/>
      <c r="L9" s="477"/>
      <c r="M9" s="477"/>
      <c r="N9" s="477"/>
      <c r="O9" s="477"/>
      <c r="P9" s="477"/>
      <c r="Q9" s="477"/>
      <c r="R9" s="477"/>
      <c r="S9" s="477"/>
      <c r="T9" s="477"/>
      <c r="U9" s="477"/>
      <c r="V9" s="477"/>
      <c r="W9" s="477"/>
      <c r="X9" s="477"/>
      <c r="Y9" s="477"/>
      <c r="Z9" s="477"/>
      <c r="AA9" s="477"/>
      <c r="AB9" s="477"/>
      <c r="AC9" s="478"/>
      <c r="AE9" s="188"/>
      <c r="AF9" s="188"/>
      <c r="AG9" s="188"/>
      <c r="AH9" s="188"/>
      <c r="AI9" s="188"/>
      <c r="AJ9" s="188"/>
      <c r="AK9" s="188"/>
      <c r="AL9" s="188"/>
      <c r="AM9" s="188"/>
      <c r="AN9" s="188"/>
      <c r="AO9" s="188"/>
      <c r="AP9" s="188"/>
      <c r="AQ9" s="188"/>
      <c r="AR9" s="188"/>
      <c r="AS9" s="188"/>
      <c r="AT9" s="188"/>
      <c r="AU9" s="188"/>
      <c r="AV9" s="188"/>
      <c r="AW9" s="188"/>
      <c r="AX9" s="188"/>
      <c r="AY9" s="188"/>
      <c r="AZ9" s="188"/>
      <c r="BA9" s="188"/>
      <c r="BB9" s="188"/>
      <c r="BC9" s="188"/>
      <c r="BD9" s="188"/>
      <c r="BE9" s="188"/>
      <c r="BF9" s="188"/>
      <c r="BG9" s="188"/>
      <c r="BH9" s="188"/>
      <c r="BI9" s="188"/>
      <c r="BJ9" s="188"/>
      <c r="BK9" s="188"/>
      <c r="BL9" s="188"/>
      <c r="BM9" s="188"/>
      <c r="BN9" s="188"/>
      <c r="BO9" s="188"/>
      <c r="BP9" s="188"/>
      <c r="BQ9" s="188"/>
      <c r="BR9" s="188"/>
      <c r="BS9" s="188"/>
      <c r="BT9" s="188"/>
      <c r="BU9" s="188"/>
      <c r="BV9" s="188"/>
      <c r="BW9" s="188"/>
      <c r="BX9" s="188"/>
      <c r="BY9" s="188"/>
      <c r="BZ9" s="188"/>
      <c r="CA9" s="188"/>
      <c r="CB9" s="188"/>
      <c r="CC9" s="188"/>
      <c r="CD9" s="188"/>
      <c r="CE9" s="188"/>
      <c r="CF9" s="188"/>
      <c r="CG9" s="188"/>
      <c r="CH9" s="188"/>
      <c r="CI9" s="188"/>
      <c r="CJ9" s="188"/>
      <c r="CK9" s="188"/>
      <c r="CL9" s="188"/>
      <c r="CM9" s="188"/>
      <c r="CN9" s="188"/>
      <c r="CO9" s="188"/>
      <c r="CP9" s="188"/>
    </row>
    <row r="10" spans="1:94" ht="21" customHeight="1" x14ac:dyDescent="0.2">
      <c r="B10" s="90"/>
      <c r="C10" s="345" t="s">
        <v>235</v>
      </c>
      <c r="D10" s="346"/>
      <c r="E10" s="346"/>
      <c r="F10" s="346"/>
      <c r="G10" s="346"/>
      <c r="H10" s="346"/>
      <c r="I10" s="346"/>
      <c r="J10" s="346"/>
      <c r="K10" s="346"/>
      <c r="L10" s="346"/>
      <c r="M10" s="346"/>
      <c r="N10" s="346"/>
      <c r="O10" s="346"/>
      <c r="P10" s="346"/>
      <c r="Q10" s="346"/>
      <c r="R10" s="346"/>
      <c r="S10" s="346"/>
      <c r="T10" s="346"/>
      <c r="U10" s="346"/>
      <c r="V10" s="346"/>
      <c r="W10" s="346"/>
      <c r="X10" s="346"/>
      <c r="Y10" s="346"/>
      <c r="Z10" s="346"/>
      <c r="AA10" s="346"/>
      <c r="AB10" s="346"/>
      <c r="AC10" s="347"/>
      <c r="AE10" s="188"/>
      <c r="AF10" s="188"/>
      <c r="AG10" s="188"/>
      <c r="AH10" s="188"/>
      <c r="AI10" s="188"/>
      <c r="AJ10" s="188"/>
      <c r="AK10" s="188"/>
      <c r="AL10" s="188"/>
      <c r="AM10" s="188"/>
      <c r="AN10" s="188"/>
      <c r="AO10" s="188"/>
      <c r="AP10" s="188"/>
      <c r="AQ10" s="188"/>
      <c r="AR10" s="188"/>
      <c r="AS10" s="188"/>
      <c r="AT10" s="188"/>
      <c r="AU10" s="188"/>
      <c r="AV10" s="188"/>
      <c r="AW10" s="188"/>
      <c r="AX10" s="188"/>
      <c r="AY10" s="188"/>
      <c r="AZ10" s="188"/>
      <c r="BA10" s="188"/>
      <c r="BB10" s="188"/>
      <c r="BC10" s="188"/>
      <c r="BD10" s="188"/>
      <c r="BE10" s="188"/>
      <c r="BF10" s="188"/>
      <c r="BG10" s="188"/>
      <c r="BH10" s="188"/>
      <c r="BI10" s="188"/>
      <c r="BJ10" s="188"/>
      <c r="BK10" s="188"/>
      <c r="BL10" s="188"/>
      <c r="BM10" s="188"/>
      <c r="BN10" s="188"/>
      <c r="BO10" s="188"/>
      <c r="BP10" s="188"/>
      <c r="BQ10" s="188"/>
      <c r="BR10" s="188"/>
      <c r="BS10" s="188"/>
      <c r="BT10" s="188"/>
      <c r="BU10" s="188"/>
      <c r="BV10" s="188"/>
      <c r="BW10" s="188"/>
      <c r="BX10" s="188"/>
      <c r="BY10" s="188"/>
      <c r="BZ10" s="188"/>
      <c r="CA10" s="188"/>
      <c r="CB10" s="188"/>
      <c r="CC10" s="188"/>
      <c r="CD10" s="188"/>
      <c r="CE10" s="188"/>
      <c r="CF10" s="188"/>
      <c r="CG10" s="188"/>
      <c r="CH10" s="188"/>
      <c r="CI10" s="188"/>
      <c r="CJ10" s="188"/>
      <c r="CK10" s="188"/>
      <c r="CL10" s="188"/>
      <c r="CM10" s="188"/>
      <c r="CN10" s="188"/>
      <c r="CO10" s="188"/>
      <c r="CP10" s="188"/>
    </row>
    <row r="11" spans="1:94" ht="54.75" customHeight="1" x14ac:dyDescent="0.2">
      <c r="B11" s="191" t="s">
        <v>139</v>
      </c>
      <c r="C11" s="534" t="s">
        <v>94</v>
      </c>
      <c r="D11" s="535"/>
      <c r="E11" s="536"/>
      <c r="F11" s="219" t="s">
        <v>95</v>
      </c>
      <c r="G11" s="218" t="s">
        <v>4</v>
      </c>
      <c r="H11" s="217" t="s">
        <v>3</v>
      </c>
      <c r="I11" s="216" t="s">
        <v>96</v>
      </c>
      <c r="J11" s="216" t="s">
        <v>150</v>
      </c>
      <c r="K11" s="220" t="s">
        <v>5</v>
      </c>
      <c r="L11" s="220" t="s">
        <v>6</v>
      </c>
      <c r="M11" s="220" t="s">
        <v>7</v>
      </c>
      <c r="N11" s="220" t="s">
        <v>8</v>
      </c>
      <c r="O11" s="197" t="s">
        <v>444</v>
      </c>
      <c r="P11" s="197" t="s">
        <v>9</v>
      </c>
      <c r="Q11" s="197" t="s">
        <v>10</v>
      </c>
      <c r="R11" s="197" t="s">
        <v>11</v>
      </c>
      <c r="S11" s="197" t="s">
        <v>12</v>
      </c>
      <c r="T11" s="197" t="s">
        <v>398</v>
      </c>
      <c r="U11" s="197" t="s">
        <v>13</v>
      </c>
      <c r="V11" s="197" t="s">
        <v>14</v>
      </c>
      <c r="W11" s="197" t="s">
        <v>15</v>
      </c>
      <c r="X11" s="197" t="s">
        <v>16</v>
      </c>
      <c r="Y11" s="197" t="s">
        <v>424</v>
      </c>
      <c r="Z11" s="197" t="s">
        <v>97</v>
      </c>
      <c r="AA11" s="197" t="s">
        <v>98</v>
      </c>
      <c r="AB11" s="197" t="s">
        <v>236</v>
      </c>
      <c r="AC11" s="197" t="s">
        <v>99</v>
      </c>
      <c r="AE11" s="188"/>
      <c r="AF11" s="188"/>
      <c r="AG11" s="188"/>
      <c r="AH11" s="188"/>
      <c r="AI11" s="188"/>
      <c r="AJ11" s="188"/>
      <c r="AK11" s="188"/>
      <c r="AL11" s="188"/>
      <c r="AM11" s="188"/>
      <c r="AN11" s="188"/>
      <c r="AO11" s="188"/>
      <c r="AP11" s="188"/>
      <c r="AQ11" s="188"/>
      <c r="AR11" s="188"/>
      <c r="AS11" s="188"/>
      <c r="AT11" s="188"/>
      <c r="AU11" s="188"/>
      <c r="AV11" s="188"/>
      <c r="AW11" s="188"/>
      <c r="AX11" s="188"/>
      <c r="AY11" s="188"/>
      <c r="AZ11" s="188"/>
      <c r="BA11" s="188"/>
      <c r="BB11" s="188"/>
      <c r="BC11" s="188"/>
      <c r="BD11" s="188"/>
      <c r="BE11" s="188"/>
      <c r="BF11" s="188"/>
      <c r="BG11" s="188"/>
      <c r="BH11" s="188"/>
      <c r="BI11" s="188"/>
      <c r="BJ11" s="188"/>
      <c r="BK11" s="188"/>
      <c r="BL11" s="188"/>
      <c r="BM11" s="188"/>
      <c r="BN11" s="188"/>
      <c r="BO11" s="188"/>
      <c r="BP11" s="188"/>
      <c r="BQ11" s="188"/>
      <c r="BR11" s="188"/>
      <c r="BS11" s="188"/>
      <c r="BT11" s="188"/>
      <c r="BU11" s="188"/>
      <c r="BV11" s="188"/>
      <c r="BW11" s="188"/>
      <c r="BX11" s="188"/>
      <c r="BY11" s="188"/>
      <c r="BZ11" s="188"/>
      <c r="CA11" s="188"/>
      <c r="CB11" s="188"/>
      <c r="CC11" s="188"/>
      <c r="CD11" s="188"/>
      <c r="CE11" s="188"/>
      <c r="CF11" s="188"/>
      <c r="CG11" s="188"/>
      <c r="CH11" s="188"/>
      <c r="CI11" s="188"/>
      <c r="CJ11" s="188"/>
      <c r="CK11" s="188"/>
      <c r="CL11" s="188"/>
      <c r="CM11" s="188"/>
      <c r="CN11" s="188"/>
      <c r="CO11" s="188"/>
      <c r="CP11" s="188"/>
    </row>
    <row r="12" spans="1:94" s="231" customFormat="1" ht="32.25" customHeight="1" x14ac:dyDescent="0.2">
      <c r="B12" s="470" t="s">
        <v>17</v>
      </c>
      <c r="C12" s="470"/>
      <c r="D12" s="470"/>
      <c r="E12" s="470"/>
      <c r="F12" s="470"/>
      <c r="G12" s="470"/>
      <c r="H12" s="470"/>
      <c r="I12" s="56">
        <f>+I13+I15+I17+I19+I21</f>
        <v>13273</v>
      </c>
      <c r="J12" s="56">
        <v>16938</v>
      </c>
      <c r="K12" s="56">
        <f t="shared" ref="K12:S12" si="0">+K13+K15+K17+K19+K21</f>
        <v>641</v>
      </c>
      <c r="L12" s="56">
        <f t="shared" si="0"/>
        <v>727</v>
      </c>
      <c r="M12" s="56">
        <f t="shared" si="0"/>
        <v>1164</v>
      </c>
      <c r="N12" s="56">
        <f t="shared" si="0"/>
        <v>1450</v>
      </c>
      <c r="O12" s="56">
        <f t="shared" si="0"/>
        <v>3982</v>
      </c>
      <c r="P12" s="56">
        <f t="shared" si="0"/>
        <v>1332</v>
      </c>
      <c r="Q12" s="56">
        <f t="shared" si="0"/>
        <v>1098</v>
      </c>
      <c r="R12" s="56">
        <f t="shared" si="0"/>
        <v>1469</v>
      </c>
      <c r="S12" s="56">
        <f t="shared" si="0"/>
        <v>1675</v>
      </c>
      <c r="T12" s="56">
        <f>+T13+T15+T17+T19+T21</f>
        <v>5574</v>
      </c>
      <c r="U12" s="56"/>
      <c r="V12" s="56"/>
      <c r="W12" s="56"/>
      <c r="X12" s="56"/>
      <c r="Y12" s="56">
        <f>+Y13+Y15+Y17+Y19+Y21</f>
        <v>0</v>
      </c>
      <c r="Z12" s="56">
        <f>+Z13+Z15+Z17+Z19+Z21</f>
        <v>9556</v>
      </c>
      <c r="AA12" s="127">
        <f t="shared" ref="AA12:AA22" si="1">SUM(Z12/J12)</f>
        <v>0.56417522729956315</v>
      </c>
      <c r="AB12" s="105">
        <f>+AB13+AB15+AB17+AB19+AB21</f>
        <v>112255075</v>
      </c>
      <c r="AC12" s="290" t="s">
        <v>445</v>
      </c>
      <c r="AE12" s="188"/>
      <c r="AF12" s="188"/>
      <c r="AG12" s="188"/>
      <c r="AH12" s="188"/>
      <c r="AI12" s="188"/>
      <c r="AJ12" s="188"/>
      <c r="AK12" s="188"/>
      <c r="AL12" s="188"/>
      <c r="AM12" s="188"/>
      <c r="AN12" s="188"/>
      <c r="AO12" s="188"/>
      <c r="AP12" s="188"/>
      <c r="AQ12" s="188"/>
      <c r="AR12" s="188"/>
      <c r="AS12" s="188"/>
      <c r="AT12" s="188"/>
      <c r="AU12" s="188"/>
      <c r="AV12" s="188"/>
      <c r="AW12" s="188"/>
      <c r="AX12" s="188"/>
      <c r="AY12" s="188"/>
      <c r="AZ12" s="188"/>
      <c r="BA12" s="188"/>
      <c r="BB12" s="188"/>
      <c r="BC12" s="188"/>
      <c r="BD12" s="188"/>
      <c r="BE12" s="188"/>
      <c r="BF12" s="188"/>
      <c r="BG12" s="188"/>
      <c r="BH12" s="188"/>
      <c r="BI12" s="188"/>
      <c r="BJ12" s="188"/>
      <c r="BK12" s="188"/>
      <c r="BL12" s="188"/>
      <c r="BM12" s="188"/>
      <c r="BN12" s="188"/>
      <c r="BO12" s="188"/>
      <c r="BP12" s="188"/>
      <c r="BQ12" s="188"/>
      <c r="BR12" s="188"/>
      <c r="BS12" s="188"/>
      <c r="BT12" s="188"/>
      <c r="BU12" s="188"/>
      <c r="BV12" s="188"/>
      <c r="BW12" s="188"/>
      <c r="BX12" s="188"/>
      <c r="BY12" s="188"/>
      <c r="BZ12" s="188"/>
      <c r="CA12" s="188"/>
      <c r="CB12" s="188"/>
      <c r="CC12" s="188"/>
      <c r="CD12" s="188"/>
      <c r="CE12" s="188"/>
      <c r="CF12" s="188"/>
      <c r="CG12" s="188"/>
      <c r="CH12" s="188"/>
      <c r="CI12" s="188"/>
      <c r="CJ12" s="188"/>
      <c r="CK12" s="188"/>
      <c r="CL12" s="188"/>
      <c r="CM12" s="188"/>
      <c r="CN12" s="188"/>
      <c r="CO12" s="188"/>
      <c r="CP12" s="188"/>
    </row>
    <row r="13" spans="1:94" ht="27.75" customHeight="1" x14ac:dyDescent="0.2">
      <c r="B13" s="31">
        <v>1</v>
      </c>
      <c r="C13" s="512" t="s">
        <v>18</v>
      </c>
      <c r="D13" s="512"/>
      <c r="E13" s="512"/>
      <c r="F13" s="44"/>
      <c r="G13" s="61"/>
      <c r="H13" s="5" t="s">
        <v>19</v>
      </c>
      <c r="I13" s="10">
        <v>7503</v>
      </c>
      <c r="J13" s="244">
        <v>9695</v>
      </c>
      <c r="K13" s="7">
        <v>227</v>
      </c>
      <c r="L13" s="110" t="s">
        <v>363</v>
      </c>
      <c r="M13" s="69">
        <v>910</v>
      </c>
      <c r="N13" s="10">
        <v>776</v>
      </c>
      <c r="O13" s="10">
        <f t="shared" ref="O13:O20" si="2">+K13+L13+M13+N13</f>
        <v>2392</v>
      </c>
      <c r="P13" s="7">
        <v>807</v>
      </c>
      <c r="Q13" s="10">
        <v>826</v>
      </c>
      <c r="R13" s="110" t="s">
        <v>408</v>
      </c>
      <c r="S13" s="7">
        <v>794</v>
      </c>
      <c r="T13" s="10">
        <f t="shared" ref="T13:T22" si="3">SUM(P13+Q13+R13+S13)</f>
        <v>3417</v>
      </c>
      <c r="U13" s="7"/>
      <c r="V13" s="110"/>
      <c r="W13" s="10"/>
      <c r="X13" s="7"/>
      <c r="Y13" s="10">
        <f>SUM(U13:X13)</f>
        <v>0</v>
      </c>
      <c r="Z13" s="10">
        <f>SUM(O13+T13+Y13)</f>
        <v>5809</v>
      </c>
      <c r="AA13" s="42">
        <f t="shared" si="1"/>
        <v>0.59917483238782876</v>
      </c>
      <c r="AB13" s="3">
        <v>39161782</v>
      </c>
      <c r="AC13" s="302" t="s">
        <v>425</v>
      </c>
      <c r="AD13" s="198">
        <v>0</v>
      </c>
      <c r="AE13" s="232"/>
    </row>
    <row r="14" spans="1:94" ht="29.25" customHeight="1" x14ac:dyDescent="0.2">
      <c r="B14" s="31"/>
      <c r="C14" s="513"/>
      <c r="D14" s="514"/>
      <c r="E14" s="515"/>
      <c r="F14" s="180" t="s">
        <v>18</v>
      </c>
      <c r="G14" s="61"/>
      <c r="H14" s="8" t="s">
        <v>19</v>
      </c>
      <c r="I14" s="6">
        <v>7503</v>
      </c>
      <c r="J14" s="245">
        <v>9695</v>
      </c>
      <c r="K14" s="6">
        <v>227</v>
      </c>
      <c r="L14" s="109" t="s">
        <v>363</v>
      </c>
      <c r="M14" s="68">
        <v>910</v>
      </c>
      <c r="N14" s="67">
        <v>776</v>
      </c>
      <c r="O14" s="10">
        <f t="shared" si="2"/>
        <v>2392</v>
      </c>
      <c r="P14" s="6">
        <v>807</v>
      </c>
      <c r="Q14" s="67">
        <v>826</v>
      </c>
      <c r="R14" s="109" t="s">
        <v>408</v>
      </c>
      <c r="S14" s="6">
        <v>794</v>
      </c>
      <c r="T14" s="67">
        <f t="shared" si="3"/>
        <v>3417</v>
      </c>
      <c r="U14" s="7"/>
      <c r="V14" s="109"/>
      <c r="W14" s="67"/>
      <c r="X14" s="6"/>
      <c r="Y14" s="67">
        <f t="shared" ref="Y14:Y22" si="4">SUM(U14:X14)</f>
        <v>0</v>
      </c>
      <c r="Z14" s="67">
        <f>SUM(O14+T14+Y14)</f>
        <v>5809</v>
      </c>
      <c r="AA14" s="70">
        <f t="shared" si="1"/>
        <v>0.59917483238782876</v>
      </c>
      <c r="AB14" s="9"/>
      <c r="AC14" s="261"/>
      <c r="AD14" s="198">
        <v>0</v>
      </c>
    </row>
    <row r="15" spans="1:94" ht="28.5" customHeight="1" x14ac:dyDescent="0.2">
      <c r="B15" s="31">
        <v>2</v>
      </c>
      <c r="C15" s="512" t="s">
        <v>20</v>
      </c>
      <c r="D15" s="512"/>
      <c r="E15" s="512"/>
      <c r="F15" s="44"/>
      <c r="G15" s="52"/>
      <c r="H15" s="5" t="s">
        <v>19</v>
      </c>
      <c r="I15" s="10">
        <v>99</v>
      </c>
      <c r="J15" s="263">
        <v>142</v>
      </c>
      <c r="K15" s="7">
        <v>9</v>
      </c>
      <c r="L15" s="7">
        <v>6</v>
      </c>
      <c r="M15" s="7">
        <v>17</v>
      </c>
      <c r="N15" s="7">
        <v>12</v>
      </c>
      <c r="O15" s="10">
        <f t="shared" si="2"/>
        <v>44</v>
      </c>
      <c r="P15" s="7">
        <v>14</v>
      </c>
      <c r="Q15" s="7">
        <v>11</v>
      </c>
      <c r="R15" s="7">
        <v>10</v>
      </c>
      <c r="S15" s="7">
        <v>14</v>
      </c>
      <c r="T15" s="10">
        <f t="shared" si="3"/>
        <v>49</v>
      </c>
      <c r="U15" s="7"/>
      <c r="V15" s="7"/>
      <c r="W15" s="117"/>
      <c r="X15" s="7"/>
      <c r="Y15" s="7">
        <f t="shared" si="4"/>
        <v>0</v>
      </c>
      <c r="Z15" s="7">
        <f t="shared" ref="Z15:Z20" si="5">SUM(O15+T15+Y15)</f>
        <v>93</v>
      </c>
      <c r="AA15" s="42">
        <f t="shared" si="1"/>
        <v>0.65492957746478875</v>
      </c>
      <c r="AB15" s="3">
        <v>5122092</v>
      </c>
      <c r="AC15" s="302" t="s">
        <v>426</v>
      </c>
      <c r="AD15" s="198">
        <f>13+4+4+5</f>
        <v>26</v>
      </c>
    </row>
    <row r="16" spans="1:94" ht="28.5" customHeight="1" x14ac:dyDescent="0.2">
      <c r="B16" s="31"/>
      <c r="C16" s="521"/>
      <c r="D16" s="522"/>
      <c r="E16" s="523"/>
      <c r="F16" s="180" t="s">
        <v>20</v>
      </c>
      <c r="G16" s="66"/>
      <c r="H16" s="8" t="s">
        <v>19</v>
      </c>
      <c r="I16" s="67">
        <v>99</v>
      </c>
      <c r="J16" s="264">
        <v>142</v>
      </c>
      <c r="K16" s="6">
        <v>9</v>
      </c>
      <c r="L16" s="6">
        <v>6</v>
      </c>
      <c r="M16" s="6">
        <v>17</v>
      </c>
      <c r="N16" s="6">
        <v>12</v>
      </c>
      <c r="O16" s="10">
        <f t="shared" si="2"/>
        <v>44</v>
      </c>
      <c r="P16" s="6">
        <v>14</v>
      </c>
      <c r="Q16" s="6">
        <v>11</v>
      </c>
      <c r="R16" s="6">
        <v>10</v>
      </c>
      <c r="S16" s="6">
        <v>14</v>
      </c>
      <c r="T16" s="67">
        <f t="shared" si="3"/>
        <v>49</v>
      </c>
      <c r="U16" s="6"/>
      <c r="V16" s="6"/>
      <c r="W16" s="58"/>
      <c r="X16" s="6"/>
      <c r="Y16" s="6">
        <f t="shared" si="4"/>
        <v>0</v>
      </c>
      <c r="Z16" s="6">
        <f t="shared" si="5"/>
        <v>93</v>
      </c>
      <c r="AA16" s="70">
        <f t="shared" si="1"/>
        <v>0.65492957746478875</v>
      </c>
      <c r="AB16" s="9"/>
      <c r="AC16" s="9"/>
      <c r="AD16" s="198">
        <f>13+4+4+5</f>
        <v>26</v>
      </c>
    </row>
    <row r="17" spans="2:32" ht="28.5" customHeight="1" x14ac:dyDescent="0.2">
      <c r="B17" s="31">
        <v>3</v>
      </c>
      <c r="C17" s="512" t="s">
        <v>21</v>
      </c>
      <c r="D17" s="512"/>
      <c r="E17" s="512"/>
      <c r="F17" s="44"/>
      <c r="G17" s="66"/>
      <c r="H17" s="5" t="s">
        <v>19</v>
      </c>
      <c r="I17" s="10">
        <v>45</v>
      </c>
      <c r="J17" s="5">
        <v>45</v>
      </c>
      <c r="K17" s="110" t="s">
        <v>211</v>
      </c>
      <c r="L17" s="110" t="s">
        <v>211</v>
      </c>
      <c r="M17" s="6">
        <v>6</v>
      </c>
      <c r="N17" s="7">
        <v>1</v>
      </c>
      <c r="O17" s="10">
        <f t="shared" si="2"/>
        <v>7</v>
      </c>
      <c r="P17" s="7">
        <v>5</v>
      </c>
      <c r="Q17" s="7">
        <v>4</v>
      </c>
      <c r="R17" s="7">
        <v>1</v>
      </c>
      <c r="S17" s="7">
        <v>8</v>
      </c>
      <c r="T17" s="10">
        <f t="shared" si="3"/>
        <v>18</v>
      </c>
      <c r="U17" s="7"/>
      <c r="V17" s="7"/>
      <c r="W17" s="117"/>
      <c r="X17" s="7"/>
      <c r="Y17" s="7">
        <f t="shared" si="4"/>
        <v>0</v>
      </c>
      <c r="Z17" s="7">
        <f>SUM(O17+T17+Y17)</f>
        <v>25</v>
      </c>
      <c r="AA17" s="42">
        <f t="shared" si="1"/>
        <v>0.55555555555555558</v>
      </c>
      <c r="AB17" s="3">
        <v>4681549</v>
      </c>
      <c r="AC17" s="302" t="s">
        <v>401</v>
      </c>
      <c r="AD17" s="62">
        <f>6+7+7+7</f>
        <v>27</v>
      </c>
    </row>
    <row r="18" spans="2:32" ht="18.75" customHeight="1" x14ac:dyDescent="0.2">
      <c r="B18" s="31"/>
      <c r="C18" s="521"/>
      <c r="D18" s="522"/>
      <c r="E18" s="523"/>
      <c r="F18" s="45" t="s">
        <v>21</v>
      </c>
      <c r="G18" s="66"/>
      <c r="H18" s="8" t="s">
        <v>19</v>
      </c>
      <c r="I18" s="67">
        <v>45</v>
      </c>
      <c r="J18" s="8">
        <v>45</v>
      </c>
      <c r="K18" s="109" t="s">
        <v>211</v>
      </c>
      <c r="L18" s="109" t="s">
        <v>211</v>
      </c>
      <c r="M18" s="6">
        <v>6</v>
      </c>
      <c r="N18" s="6">
        <v>1</v>
      </c>
      <c r="O18" s="10">
        <f t="shared" si="2"/>
        <v>7</v>
      </c>
      <c r="P18" s="6">
        <v>5</v>
      </c>
      <c r="Q18" s="6">
        <v>4</v>
      </c>
      <c r="R18" s="6">
        <v>1</v>
      </c>
      <c r="S18" s="6">
        <v>8</v>
      </c>
      <c r="T18" s="67">
        <f t="shared" si="3"/>
        <v>18</v>
      </c>
      <c r="U18" s="6"/>
      <c r="V18" s="6"/>
      <c r="W18" s="58"/>
      <c r="X18" s="6"/>
      <c r="Y18" s="6">
        <f t="shared" si="4"/>
        <v>0</v>
      </c>
      <c r="Z18" s="6">
        <f>SUM(O18+T18+Y18)</f>
        <v>25</v>
      </c>
      <c r="AA18" s="70">
        <f t="shared" si="1"/>
        <v>0.55555555555555558</v>
      </c>
      <c r="AB18" s="9"/>
      <c r="AC18" s="262"/>
      <c r="AD18" s="62">
        <f>6+7+7+7</f>
        <v>27</v>
      </c>
    </row>
    <row r="19" spans="2:32" ht="33" customHeight="1" x14ac:dyDescent="0.2">
      <c r="B19" s="31">
        <v>4</v>
      </c>
      <c r="C19" s="512" t="s">
        <v>22</v>
      </c>
      <c r="D19" s="512"/>
      <c r="E19" s="512"/>
      <c r="F19" s="233"/>
      <c r="G19" s="66"/>
      <c r="H19" s="5" t="s">
        <v>19</v>
      </c>
      <c r="I19" s="10">
        <v>4744</v>
      </c>
      <c r="J19" s="244">
        <v>6344</v>
      </c>
      <c r="K19" s="7">
        <v>405</v>
      </c>
      <c r="L19" s="110" t="s">
        <v>364</v>
      </c>
      <c r="M19" s="10">
        <v>181</v>
      </c>
      <c r="N19" s="10">
        <v>586</v>
      </c>
      <c r="O19" s="10">
        <f t="shared" si="2"/>
        <v>1414</v>
      </c>
      <c r="P19" s="7">
        <v>466</v>
      </c>
      <c r="Q19" s="10">
        <v>227</v>
      </c>
      <c r="R19" s="110" t="s">
        <v>409</v>
      </c>
      <c r="S19" s="7">
        <v>794</v>
      </c>
      <c r="T19" s="10">
        <f t="shared" si="3"/>
        <v>1870</v>
      </c>
      <c r="U19" s="7"/>
      <c r="V19" s="110"/>
      <c r="W19" s="7"/>
      <c r="X19" s="10"/>
      <c r="Y19" s="10">
        <f t="shared" si="4"/>
        <v>0</v>
      </c>
      <c r="Z19" s="10">
        <f>SUM(O19+T19+Y19)</f>
        <v>3284</v>
      </c>
      <c r="AA19" s="42">
        <f t="shared" si="1"/>
        <v>0.51765447667087017</v>
      </c>
      <c r="AB19" s="3">
        <v>62095652</v>
      </c>
      <c r="AC19" s="303" t="s">
        <v>427</v>
      </c>
      <c r="AD19" s="198">
        <v>0</v>
      </c>
      <c r="AF19" s="232"/>
    </row>
    <row r="20" spans="2:32" ht="18.75" customHeight="1" x14ac:dyDescent="0.2">
      <c r="B20" s="31"/>
      <c r="C20" s="521"/>
      <c r="D20" s="522"/>
      <c r="E20" s="523"/>
      <c r="F20" s="45" t="s">
        <v>22</v>
      </c>
      <c r="G20" s="66"/>
      <c r="H20" s="8" t="s">
        <v>19</v>
      </c>
      <c r="I20" s="10">
        <v>4744</v>
      </c>
      <c r="J20" s="245">
        <v>6344</v>
      </c>
      <c r="K20" s="107">
        <v>405</v>
      </c>
      <c r="L20" s="109" t="s">
        <v>364</v>
      </c>
      <c r="M20" s="67">
        <v>181</v>
      </c>
      <c r="N20" s="67">
        <v>586</v>
      </c>
      <c r="O20" s="10">
        <f t="shared" si="2"/>
        <v>1414</v>
      </c>
      <c r="P20" s="6">
        <v>466</v>
      </c>
      <c r="Q20" s="67">
        <v>227</v>
      </c>
      <c r="R20" s="109" t="s">
        <v>409</v>
      </c>
      <c r="S20" s="6">
        <v>794</v>
      </c>
      <c r="T20" s="67">
        <f t="shared" si="3"/>
        <v>1870</v>
      </c>
      <c r="U20" s="6"/>
      <c r="V20" s="109"/>
      <c r="W20" s="6"/>
      <c r="X20" s="67"/>
      <c r="Y20" s="67">
        <f t="shared" si="4"/>
        <v>0</v>
      </c>
      <c r="Z20" s="67">
        <f t="shared" si="5"/>
        <v>3284</v>
      </c>
      <c r="AA20" s="70">
        <f t="shared" si="1"/>
        <v>0.51765447667087017</v>
      </c>
      <c r="AB20" s="9"/>
      <c r="AC20" s="301"/>
      <c r="AD20" s="198">
        <v>0</v>
      </c>
      <c r="AE20" s="232"/>
    </row>
    <row r="21" spans="2:32" ht="85.5" customHeight="1" x14ac:dyDescent="0.2">
      <c r="B21" s="31">
        <v>5</v>
      </c>
      <c r="C21" s="348" t="s">
        <v>234</v>
      </c>
      <c r="D21" s="348"/>
      <c r="E21" s="348"/>
      <c r="F21" s="123"/>
      <c r="G21" s="124"/>
      <c r="H21" s="5" t="s">
        <v>23</v>
      </c>
      <c r="I21" s="10">
        <v>882</v>
      </c>
      <c r="J21" s="244">
        <v>712</v>
      </c>
      <c r="K21" s="110" t="s">
        <v>211</v>
      </c>
      <c r="L21" s="110" t="s">
        <v>211</v>
      </c>
      <c r="M21" s="7">
        <v>50</v>
      </c>
      <c r="N21" s="7">
        <v>75</v>
      </c>
      <c r="O21" s="110" t="s">
        <v>379</v>
      </c>
      <c r="P21" s="7">
        <v>40</v>
      </c>
      <c r="Q21" s="7">
        <v>30</v>
      </c>
      <c r="R21" s="7">
        <v>85</v>
      </c>
      <c r="S21" s="7" t="s">
        <v>419</v>
      </c>
      <c r="T21" s="7">
        <f t="shared" si="3"/>
        <v>220</v>
      </c>
      <c r="U21" s="110"/>
      <c r="V21" s="110"/>
      <c r="W21" s="110"/>
      <c r="X21" s="110"/>
      <c r="Y21" s="110">
        <f t="shared" si="4"/>
        <v>0</v>
      </c>
      <c r="Z21" s="110">
        <f>SUM(O21+T21+Y21)</f>
        <v>345</v>
      </c>
      <c r="AA21" s="42">
        <f t="shared" si="1"/>
        <v>0.4845505617977528</v>
      </c>
      <c r="AB21" s="3">
        <v>1194000</v>
      </c>
      <c r="AC21" s="302" t="s">
        <v>428</v>
      </c>
      <c r="AD21" s="62">
        <f>40+40+120+35</f>
        <v>235</v>
      </c>
    </row>
    <row r="22" spans="2:32" ht="69" customHeight="1" x14ac:dyDescent="0.2">
      <c r="B22" s="49"/>
      <c r="C22" s="493"/>
      <c r="D22" s="494"/>
      <c r="E22" s="495"/>
      <c r="F22" s="228" t="s">
        <v>234</v>
      </c>
      <c r="G22" s="66"/>
      <c r="H22" s="11"/>
      <c r="I22" s="67">
        <v>882</v>
      </c>
      <c r="J22" s="245">
        <v>712</v>
      </c>
      <c r="K22" s="109" t="s">
        <v>211</v>
      </c>
      <c r="L22" s="109" t="s">
        <v>211</v>
      </c>
      <c r="M22" s="107">
        <v>50</v>
      </c>
      <c r="N22" s="6">
        <v>75</v>
      </c>
      <c r="O22" s="109" t="s">
        <v>379</v>
      </c>
      <c r="P22" s="6">
        <v>40</v>
      </c>
      <c r="Q22" s="6">
        <v>30</v>
      </c>
      <c r="R22" s="6">
        <v>85</v>
      </c>
      <c r="S22" s="6" t="s">
        <v>419</v>
      </c>
      <c r="T22" s="6">
        <f t="shared" si="3"/>
        <v>220</v>
      </c>
      <c r="U22" s="109"/>
      <c r="V22" s="109"/>
      <c r="W22" s="109"/>
      <c r="X22" s="109"/>
      <c r="Y22" s="109">
        <f t="shared" si="4"/>
        <v>0</v>
      </c>
      <c r="Z22" s="109">
        <f>SUM(O22+T22+Y22)</f>
        <v>345</v>
      </c>
      <c r="AA22" s="70">
        <f t="shared" si="1"/>
        <v>0.4845505617977528</v>
      </c>
      <c r="AB22" s="486" t="s">
        <v>446</v>
      </c>
      <c r="AC22" s="487"/>
      <c r="AD22" s="62">
        <v>235</v>
      </c>
    </row>
    <row r="23" spans="2:32" ht="55.5" customHeight="1" x14ac:dyDescent="0.2">
      <c r="B23" s="49"/>
      <c r="C23" s="177"/>
      <c r="D23" s="178"/>
      <c r="E23" s="179"/>
      <c r="F23" s="46"/>
      <c r="G23" s="228" t="s">
        <v>469</v>
      </c>
      <c r="H23" s="11" t="s">
        <v>19</v>
      </c>
      <c r="I23" s="67">
        <v>3</v>
      </c>
      <c r="J23" s="8">
        <v>3</v>
      </c>
      <c r="K23" s="109" t="s">
        <v>211</v>
      </c>
      <c r="L23" s="109" t="s">
        <v>211</v>
      </c>
      <c r="M23" s="109" t="s">
        <v>211</v>
      </c>
      <c r="N23" s="109" t="s">
        <v>211</v>
      </c>
      <c r="O23" s="109" t="s">
        <v>211</v>
      </c>
      <c r="P23" s="109" t="s">
        <v>211</v>
      </c>
      <c r="Q23" s="109" t="s">
        <v>211</v>
      </c>
      <c r="R23" s="109" t="s">
        <v>211</v>
      </c>
      <c r="S23" s="109" t="s">
        <v>211</v>
      </c>
      <c r="T23" s="109" t="s">
        <v>211</v>
      </c>
      <c r="U23" s="109" t="s">
        <v>211</v>
      </c>
      <c r="V23" s="109" t="s">
        <v>211</v>
      </c>
      <c r="W23" s="109" t="s">
        <v>211</v>
      </c>
      <c r="X23" s="109" t="s">
        <v>211</v>
      </c>
      <c r="Y23" s="109" t="s">
        <v>211</v>
      </c>
      <c r="Z23" s="109" t="s">
        <v>211</v>
      </c>
      <c r="AA23" s="70" t="s">
        <v>211</v>
      </c>
      <c r="AB23" s="488"/>
      <c r="AC23" s="489"/>
      <c r="AD23" s="74"/>
    </row>
    <row r="24" spans="2:32" ht="21" customHeight="1" x14ac:dyDescent="0.2">
      <c r="B24" s="541" t="s">
        <v>144</v>
      </c>
      <c r="C24" s="542"/>
      <c r="D24" s="542"/>
      <c r="E24" s="542"/>
      <c r="F24" s="542"/>
      <c r="G24" s="542"/>
      <c r="H24" s="542"/>
      <c r="I24" s="542"/>
      <c r="J24" s="542"/>
      <c r="K24" s="542"/>
      <c r="L24" s="542"/>
      <c r="M24" s="542"/>
      <c r="N24" s="542"/>
      <c r="O24" s="542"/>
      <c r="P24" s="542"/>
      <c r="Q24" s="542"/>
      <c r="R24" s="542"/>
      <c r="S24" s="542"/>
      <c r="T24" s="542"/>
      <c r="U24" s="542"/>
      <c r="V24" s="542"/>
      <c r="W24" s="542"/>
      <c r="X24" s="542"/>
      <c r="Y24" s="542"/>
      <c r="Z24" s="542"/>
      <c r="AA24" s="542"/>
      <c r="AB24" s="542"/>
      <c r="AC24" s="543"/>
    </row>
    <row r="25" spans="2:32" s="188" customFormat="1" ht="24" customHeight="1" x14ac:dyDescent="0.2">
      <c r="B25" s="377" t="s">
        <v>100</v>
      </c>
      <c r="C25" s="377"/>
      <c r="D25" s="377"/>
      <c r="E25" s="377"/>
      <c r="F25" s="531" t="s">
        <v>143</v>
      </c>
      <c r="G25" s="532"/>
      <c r="H25" s="532"/>
      <c r="I25" s="532"/>
      <c r="J25" s="532"/>
      <c r="K25" s="532"/>
      <c r="L25" s="532"/>
      <c r="M25" s="532"/>
      <c r="N25" s="532"/>
      <c r="O25" s="532"/>
      <c r="P25" s="532"/>
      <c r="Q25" s="532"/>
      <c r="R25" s="532"/>
      <c r="S25" s="532"/>
      <c r="T25" s="532"/>
      <c r="U25" s="532"/>
      <c r="V25" s="532"/>
      <c r="W25" s="532"/>
      <c r="X25" s="532"/>
      <c r="Y25" s="532"/>
      <c r="Z25" s="532"/>
      <c r="AA25" s="532"/>
      <c r="AB25" s="532"/>
      <c r="AC25" s="533"/>
    </row>
    <row r="26" spans="2:32" s="188" customFormat="1" ht="22.5" customHeight="1" x14ac:dyDescent="0.2">
      <c r="B26" s="377" t="s">
        <v>90</v>
      </c>
      <c r="C26" s="377"/>
      <c r="D26" s="377"/>
      <c r="E26" s="377"/>
      <c r="F26" s="382" t="s">
        <v>215</v>
      </c>
      <c r="G26" s="382"/>
      <c r="H26" s="382"/>
      <c r="I26" s="382"/>
      <c r="J26" s="382"/>
      <c r="K26" s="382"/>
      <c r="L26" s="382"/>
      <c r="M26" s="382"/>
      <c r="N26" s="382"/>
      <c r="O26" s="382"/>
      <c r="P26" s="382"/>
      <c r="Q26" s="382"/>
      <c r="R26" s="382"/>
      <c r="S26" s="382"/>
      <c r="T26" s="382"/>
      <c r="U26" s="382"/>
      <c r="V26" s="382"/>
      <c r="W26" s="382"/>
      <c r="X26" s="382"/>
      <c r="Y26" s="382"/>
      <c r="Z26" s="382"/>
      <c r="AA26" s="382"/>
      <c r="AB26" s="382"/>
      <c r="AC26" s="382"/>
    </row>
    <row r="27" spans="2:32" s="234" customFormat="1" ht="18" customHeight="1" x14ac:dyDescent="0.25">
      <c r="B27" s="369" t="s">
        <v>145</v>
      </c>
      <c r="C27" s="370"/>
      <c r="D27" s="370"/>
      <c r="E27" s="371"/>
      <c r="F27" s="447" t="s">
        <v>223</v>
      </c>
      <c r="G27" s="448"/>
      <c r="H27" s="448"/>
      <c r="I27" s="448"/>
      <c r="J27" s="448"/>
      <c r="K27" s="448"/>
      <c r="L27" s="448"/>
      <c r="M27" s="448"/>
      <c r="N27" s="448"/>
      <c r="O27" s="448"/>
      <c r="P27" s="448"/>
      <c r="Q27" s="448"/>
      <c r="R27" s="448"/>
      <c r="S27" s="448"/>
      <c r="T27" s="448"/>
      <c r="U27" s="448"/>
      <c r="V27" s="448"/>
      <c r="W27" s="448"/>
      <c r="X27" s="448"/>
      <c r="Y27" s="448"/>
      <c r="Z27" s="448"/>
      <c r="AA27" s="448"/>
      <c r="AB27" s="448"/>
      <c r="AC27" s="449"/>
    </row>
    <row r="28" spans="2:32" s="188" customFormat="1" ht="15.75" customHeight="1" x14ac:dyDescent="0.2">
      <c r="B28" s="351" t="s">
        <v>101</v>
      </c>
      <c r="C28" s="352"/>
      <c r="D28" s="352"/>
      <c r="E28" s="352"/>
      <c r="F28" s="352"/>
      <c r="G28" s="352"/>
      <c r="H28" s="352"/>
      <c r="I28" s="352"/>
      <c r="J28" s="352"/>
      <c r="K28" s="352"/>
      <c r="L28" s="352"/>
      <c r="M28" s="352"/>
      <c r="N28" s="352"/>
      <c r="O28" s="352"/>
      <c r="P28" s="352"/>
      <c r="Q28" s="352"/>
      <c r="R28" s="352"/>
      <c r="S28" s="352"/>
      <c r="T28" s="352"/>
      <c r="U28" s="352"/>
      <c r="V28" s="352"/>
      <c r="W28" s="352"/>
      <c r="X28" s="352"/>
      <c r="Y28" s="352"/>
      <c r="Z28" s="352"/>
      <c r="AA28" s="352"/>
      <c r="AB28" s="352"/>
      <c r="AC28" s="499"/>
    </row>
    <row r="29" spans="2:32" s="188" customFormat="1" ht="15.75" customHeight="1" x14ac:dyDescent="0.2">
      <c r="B29" s="469" t="s">
        <v>102</v>
      </c>
      <c r="C29" s="469"/>
      <c r="D29" s="469"/>
      <c r="E29" s="469"/>
      <c r="F29" s="516" t="s">
        <v>187</v>
      </c>
      <c r="G29" s="516"/>
      <c r="H29" s="516"/>
      <c r="I29" s="516"/>
      <c r="J29" s="516"/>
      <c r="K29" s="516"/>
      <c r="L29" s="516"/>
      <c r="M29" s="516"/>
      <c r="N29" s="516"/>
      <c r="O29" s="516"/>
      <c r="P29" s="516"/>
      <c r="Q29" s="516"/>
      <c r="R29" s="516"/>
      <c r="S29" s="516"/>
      <c r="T29" s="516"/>
      <c r="U29" s="516"/>
      <c r="V29" s="516"/>
      <c r="W29" s="516"/>
      <c r="X29" s="516"/>
      <c r="Y29" s="516"/>
      <c r="Z29" s="516"/>
      <c r="AA29" s="516"/>
      <c r="AB29" s="516"/>
      <c r="AC29" s="516"/>
    </row>
    <row r="30" spans="2:32" s="188" customFormat="1" ht="17.25" customHeight="1" x14ac:dyDescent="0.2">
      <c r="B30" s="469" t="s">
        <v>103</v>
      </c>
      <c r="C30" s="469"/>
      <c r="D30" s="469"/>
      <c r="E30" s="469"/>
      <c r="F30" s="516" t="s">
        <v>190</v>
      </c>
      <c r="G30" s="516"/>
      <c r="H30" s="516"/>
      <c r="I30" s="516"/>
      <c r="J30" s="516"/>
      <c r="K30" s="516"/>
      <c r="L30" s="516"/>
      <c r="M30" s="516"/>
      <c r="N30" s="516"/>
      <c r="O30" s="516"/>
      <c r="P30" s="516"/>
      <c r="Q30" s="516"/>
      <c r="R30" s="516"/>
      <c r="S30" s="516"/>
      <c r="T30" s="516"/>
      <c r="U30" s="516"/>
      <c r="V30" s="516"/>
      <c r="W30" s="516"/>
      <c r="X30" s="516"/>
      <c r="Y30" s="516"/>
      <c r="Z30" s="516"/>
      <c r="AA30" s="516"/>
      <c r="AB30" s="516"/>
      <c r="AC30" s="516"/>
    </row>
    <row r="31" spans="2:32" ht="14.25" customHeight="1" x14ac:dyDescent="0.2">
      <c r="B31" s="90"/>
      <c r="C31" s="345" t="s">
        <v>235</v>
      </c>
      <c r="D31" s="346"/>
      <c r="E31" s="346"/>
      <c r="F31" s="346"/>
      <c r="G31" s="346"/>
      <c r="H31" s="346"/>
      <c r="I31" s="346"/>
      <c r="J31" s="346"/>
      <c r="K31" s="346"/>
      <c r="L31" s="346"/>
      <c r="M31" s="346"/>
      <c r="N31" s="346"/>
      <c r="O31" s="346"/>
      <c r="P31" s="346"/>
      <c r="Q31" s="346"/>
      <c r="R31" s="346"/>
      <c r="S31" s="346"/>
      <c r="T31" s="346"/>
      <c r="U31" s="346"/>
      <c r="V31" s="346"/>
      <c r="W31" s="346"/>
      <c r="X31" s="346"/>
      <c r="Y31" s="346"/>
      <c r="Z31" s="346"/>
      <c r="AA31" s="346"/>
      <c r="AB31" s="346"/>
      <c r="AC31" s="347"/>
    </row>
    <row r="32" spans="2:32" ht="50.25" customHeight="1" x14ac:dyDescent="0.2">
      <c r="B32" s="199" t="s">
        <v>139</v>
      </c>
      <c r="C32" s="379" t="s">
        <v>94</v>
      </c>
      <c r="D32" s="380"/>
      <c r="E32" s="381"/>
      <c r="F32" s="192" t="s">
        <v>95</v>
      </c>
      <c r="G32" s="193" t="s">
        <v>4</v>
      </c>
      <c r="H32" s="194" t="s">
        <v>3</v>
      </c>
      <c r="I32" s="195" t="s">
        <v>96</v>
      </c>
      <c r="J32" s="195" t="s">
        <v>150</v>
      </c>
      <c r="K32" s="1" t="s">
        <v>5</v>
      </c>
      <c r="L32" s="1" t="s">
        <v>6</v>
      </c>
      <c r="M32" s="1" t="s">
        <v>7</v>
      </c>
      <c r="N32" s="1" t="s">
        <v>8</v>
      </c>
      <c r="O32" s="35" t="s">
        <v>157</v>
      </c>
      <c r="P32" s="2" t="s">
        <v>9</v>
      </c>
      <c r="Q32" s="2" t="s">
        <v>10</v>
      </c>
      <c r="R32" s="2" t="s">
        <v>11</v>
      </c>
      <c r="S32" s="2" t="s">
        <v>12</v>
      </c>
      <c r="T32" s="35" t="s">
        <v>158</v>
      </c>
      <c r="U32" s="2" t="s">
        <v>13</v>
      </c>
      <c r="V32" s="2" t="s">
        <v>14</v>
      </c>
      <c r="W32" s="2" t="s">
        <v>15</v>
      </c>
      <c r="X32" s="2" t="s">
        <v>16</v>
      </c>
      <c r="Y32" s="35" t="s">
        <v>159</v>
      </c>
      <c r="Z32" s="196" t="s">
        <v>97</v>
      </c>
      <c r="AA32" s="196" t="s">
        <v>98</v>
      </c>
      <c r="AB32" s="197" t="s">
        <v>237</v>
      </c>
      <c r="AC32" s="196" t="s">
        <v>99</v>
      </c>
    </row>
    <row r="33" spans="2:33" ht="28.5" customHeight="1" x14ac:dyDescent="0.2">
      <c r="B33" s="470" t="s">
        <v>17</v>
      </c>
      <c r="C33" s="470"/>
      <c r="D33" s="470"/>
      <c r="E33" s="470"/>
      <c r="F33" s="470"/>
      <c r="G33" s="470"/>
      <c r="H33" s="470"/>
      <c r="I33" s="56">
        <f t="shared" ref="I33:X33" si="6">+I34+I52+I66+I105</f>
        <v>248984</v>
      </c>
      <c r="J33" s="56">
        <v>289890</v>
      </c>
      <c r="K33" s="56">
        <f t="shared" si="6"/>
        <v>23629</v>
      </c>
      <c r="L33" s="56">
        <f t="shared" si="6"/>
        <v>23228</v>
      </c>
      <c r="M33" s="56">
        <f t="shared" si="6"/>
        <v>24206</v>
      </c>
      <c r="N33" s="56">
        <f t="shared" si="6"/>
        <v>19080</v>
      </c>
      <c r="O33" s="56">
        <f t="shared" si="6"/>
        <v>90143</v>
      </c>
      <c r="P33" s="56">
        <f t="shared" si="6"/>
        <v>24724</v>
      </c>
      <c r="Q33" s="56">
        <f t="shared" si="6"/>
        <v>20825</v>
      </c>
      <c r="R33" s="56">
        <f t="shared" si="6"/>
        <v>23391</v>
      </c>
      <c r="S33" s="56">
        <f t="shared" si="6"/>
        <v>23597</v>
      </c>
      <c r="T33" s="56">
        <f t="shared" si="6"/>
        <v>92537</v>
      </c>
      <c r="U33" s="56">
        <f t="shared" si="6"/>
        <v>0</v>
      </c>
      <c r="V33" s="56">
        <f t="shared" si="6"/>
        <v>0</v>
      </c>
      <c r="W33" s="56">
        <f t="shared" si="6"/>
        <v>0</v>
      </c>
      <c r="X33" s="56">
        <f t="shared" si="6"/>
        <v>0</v>
      </c>
      <c r="Y33" s="56">
        <f>+Y34+Y52+Y66</f>
        <v>0</v>
      </c>
      <c r="Z33" s="56">
        <f>+Z34+Z52+Z66+Z105</f>
        <v>182680</v>
      </c>
      <c r="AA33" s="127">
        <f t="shared" ref="AA33:AA39" si="7">SUM(Z33/J33)</f>
        <v>0.6301700645072269</v>
      </c>
      <c r="AB33" s="105">
        <f>+AB34+AB52+AB66+AB105</f>
        <v>85857961</v>
      </c>
      <c r="AC33" s="105" t="s">
        <v>447</v>
      </c>
    </row>
    <row r="34" spans="2:33" ht="64.5" customHeight="1" x14ac:dyDescent="0.2">
      <c r="B34" s="31">
        <v>1</v>
      </c>
      <c r="C34" s="538" t="s">
        <v>247</v>
      </c>
      <c r="D34" s="539"/>
      <c r="E34" s="540"/>
      <c r="F34" s="200"/>
      <c r="G34" s="4"/>
      <c r="H34" s="144" t="s">
        <v>23</v>
      </c>
      <c r="I34" s="10">
        <v>2070</v>
      </c>
      <c r="J34" s="263">
        <v>867</v>
      </c>
      <c r="K34" s="69">
        <v>6</v>
      </c>
      <c r="L34" s="5">
        <f>+L35</f>
        <v>7</v>
      </c>
      <c r="M34" s="5">
        <f>+M35</f>
        <v>45</v>
      </c>
      <c r="N34" s="69">
        <f>SUM(N35+N45)</f>
        <v>110</v>
      </c>
      <c r="O34" s="110">
        <f>SUM(O35+O45)</f>
        <v>168</v>
      </c>
      <c r="P34" s="69">
        <f>+P35+P45</f>
        <v>373</v>
      </c>
      <c r="Q34" s="69">
        <f>+Q35+Q45</f>
        <v>7</v>
      </c>
      <c r="R34" s="69">
        <f>+R35</f>
        <v>8</v>
      </c>
      <c r="S34" s="69">
        <v>13</v>
      </c>
      <c r="T34" s="110">
        <f>SUM(T35+T45)</f>
        <v>401</v>
      </c>
      <c r="U34" s="7"/>
      <c r="V34" s="7"/>
      <c r="W34" s="110"/>
      <c r="X34" s="110"/>
      <c r="Y34" s="7">
        <f>SUM(Y35+Y45)</f>
        <v>0</v>
      </c>
      <c r="Z34" s="7">
        <f>SUM(O34+T34+Y34)</f>
        <v>569</v>
      </c>
      <c r="AA34" s="42">
        <f t="shared" si="7"/>
        <v>0.65628604382929645</v>
      </c>
      <c r="AB34" s="3">
        <v>5234135</v>
      </c>
      <c r="AC34" s="304" t="s">
        <v>429</v>
      </c>
      <c r="AD34" s="63">
        <f>95+39+108+6</f>
        <v>248</v>
      </c>
      <c r="AE34" s="232"/>
    </row>
    <row r="35" spans="2:33" ht="67.5" customHeight="1" x14ac:dyDescent="0.2">
      <c r="B35" s="49"/>
      <c r="C35" s="526"/>
      <c r="D35" s="527"/>
      <c r="E35" s="528"/>
      <c r="F35" s="142" t="s">
        <v>394</v>
      </c>
      <c r="G35" s="4"/>
      <c r="H35" s="145" t="s">
        <v>23</v>
      </c>
      <c r="I35" s="10">
        <v>189</v>
      </c>
      <c r="J35" s="263">
        <v>136</v>
      </c>
      <c r="K35" s="7">
        <v>6</v>
      </c>
      <c r="L35" s="7">
        <v>7</v>
      </c>
      <c r="M35" s="5">
        <v>45</v>
      </c>
      <c r="N35" s="7">
        <v>10</v>
      </c>
      <c r="O35" s="10">
        <f>+K35+L35+M35+N35</f>
        <v>68</v>
      </c>
      <c r="P35" s="7">
        <v>8</v>
      </c>
      <c r="Q35" s="7">
        <v>7</v>
      </c>
      <c r="R35" s="7">
        <v>8</v>
      </c>
      <c r="S35" s="7">
        <v>13</v>
      </c>
      <c r="T35" s="7">
        <f>SUM(P35+Q35+R35+S35)</f>
        <v>36</v>
      </c>
      <c r="U35" s="7"/>
      <c r="V35" s="7"/>
      <c r="W35" s="110"/>
      <c r="X35" s="117"/>
      <c r="Y35" s="7">
        <f>SUM(U35:X35)</f>
        <v>0</v>
      </c>
      <c r="Z35" s="7">
        <f>SUM(O35+T35+Y35)</f>
        <v>104</v>
      </c>
      <c r="AA35" s="42">
        <f t="shared" si="7"/>
        <v>0.76470588235294112</v>
      </c>
      <c r="AB35" s="129"/>
      <c r="AC35" s="55"/>
      <c r="AD35" s="63">
        <f>1+1+0+0</f>
        <v>2</v>
      </c>
      <c r="AE35" s="235"/>
      <c r="AG35" s="235"/>
    </row>
    <row r="36" spans="2:33" ht="57" customHeight="1" x14ac:dyDescent="0.2">
      <c r="B36" s="49"/>
      <c r="C36" s="483"/>
      <c r="D36" s="484"/>
      <c r="E36" s="485"/>
      <c r="F36" s="118"/>
      <c r="G36" s="66" t="s">
        <v>238</v>
      </c>
      <c r="H36" s="8" t="s">
        <v>25</v>
      </c>
      <c r="I36" s="6">
        <v>12</v>
      </c>
      <c r="J36" s="6">
        <v>12</v>
      </c>
      <c r="K36" s="7">
        <v>2</v>
      </c>
      <c r="L36" s="109" t="s">
        <v>355</v>
      </c>
      <c r="M36" s="109" t="s">
        <v>370</v>
      </c>
      <c r="N36" s="6">
        <v>2</v>
      </c>
      <c r="O36" s="10">
        <f>+K36+L36+M36+N36</f>
        <v>13</v>
      </c>
      <c r="P36" s="109" t="s">
        <v>211</v>
      </c>
      <c r="Q36" s="109" t="s">
        <v>392</v>
      </c>
      <c r="R36" s="58">
        <v>6</v>
      </c>
      <c r="S36" s="109" t="s">
        <v>211</v>
      </c>
      <c r="T36" s="109">
        <f t="shared" ref="T36:T46" si="8">SUM(P36+Q36+R36+S36)</f>
        <v>14</v>
      </c>
      <c r="U36" s="109"/>
      <c r="V36" s="109"/>
      <c r="W36" s="109"/>
      <c r="X36" s="109"/>
      <c r="Y36" s="109"/>
      <c r="Z36" s="6">
        <v>12</v>
      </c>
      <c r="AA36" s="273">
        <f t="shared" si="7"/>
        <v>1</v>
      </c>
      <c r="AB36" s="9"/>
      <c r="AC36" s="55"/>
      <c r="AD36" s="63">
        <f>32+6+6+6</f>
        <v>50</v>
      </c>
      <c r="AE36" s="235"/>
    </row>
    <row r="37" spans="2:33" ht="60" customHeight="1" x14ac:dyDescent="0.2">
      <c r="B37" s="49"/>
      <c r="C37" s="483"/>
      <c r="D37" s="484"/>
      <c r="E37" s="485"/>
      <c r="F37" s="118"/>
      <c r="G37" s="66" t="s">
        <v>239</v>
      </c>
      <c r="H37" s="8" t="s">
        <v>25</v>
      </c>
      <c r="I37" s="67">
        <v>1276</v>
      </c>
      <c r="J37" s="67">
        <v>1276</v>
      </c>
      <c r="K37" s="6">
        <v>18</v>
      </c>
      <c r="L37" s="6">
        <v>58</v>
      </c>
      <c r="M37" s="6">
        <v>61</v>
      </c>
      <c r="N37" s="6">
        <v>78</v>
      </c>
      <c r="O37" s="67">
        <f>+K37+L37+M37+N37</f>
        <v>215</v>
      </c>
      <c r="P37" s="6">
        <v>106</v>
      </c>
      <c r="Q37" s="6">
        <v>132</v>
      </c>
      <c r="R37" s="6">
        <v>80</v>
      </c>
      <c r="S37" s="6">
        <v>60</v>
      </c>
      <c r="T37" s="6">
        <f t="shared" si="8"/>
        <v>378</v>
      </c>
      <c r="U37" s="6"/>
      <c r="V37" s="6"/>
      <c r="W37" s="6"/>
      <c r="X37" s="6"/>
      <c r="Y37" s="6"/>
      <c r="Z37" s="67">
        <f>SUM(O37+T37)</f>
        <v>593</v>
      </c>
      <c r="AA37" s="70">
        <f t="shared" si="7"/>
        <v>0.46473354231974923</v>
      </c>
      <c r="AB37" s="12"/>
      <c r="AC37" s="12"/>
      <c r="AE37" s="235"/>
    </row>
    <row r="38" spans="2:33" ht="42" customHeight="1" x14ac:dyDescent="0.2">
      <c r="B38" s="49"/>
      <c r="C38" s="483"/>
      <c r="D38" s="484"/>
      <c r="E38" s="485"/>
      <c r="F38" s="118"/>
      <c r="G38" s="66" t="s">
        <v>240</v>
      </c>
      <c r="H38" s="8" t="s">
        <v>25</v>
      </c>
      <c r="I38" s="8">
        <v>284</v>
      </c>
      <c r="J38" s="264">
        <v>360</v>
      </c>
      <c r="K38" s="6">
        <v>9</v>
      </c>
      <c r="L38" s="6">
        <v>33</v>
      </c>
      <c r="M38" s="6">
        <v>4</v>
      </c>
      <c r="N38" s="6">
        <v>20</v>
      </c>
      <c r="O38" s="67">
        <f>+K38+L38+M38+N38</f>
        <v>66</v>
      </c>
      <c r="P38" s="6">
        <v>55</v>
      </c>
      <c r="Q38" s="6">
        <v>30</v>
      </c>
      <c r="R38" s="6">
        <v>44</v>
      </c>
      <c r="S38" s="6">
        <v>20</v>
      </c>
      <c r="T38" s="6">
        <f t="shared" si="8"/>
        <v>149</v>
      </c>
      <c r="U38" s="6"/>
      <c r="V38" s="6"/>
      <c r="W38" s="6"/>
      <c r="X38" s="109"/>
      <c r="Y38" s="6"/>
      <c r="Z38" s="6">
        <f t="shared" ref="Z38:Z43" si="9">SUM(O38+T38)</f>
        <v>215</v>
      </c>
      <c r="AA38" s="70">
        <f t="shared" si="7"/>
        <v>0.59722222222222221</v>
      </c>
      <c r="AB38" s="12"/>
      <c r="AC38" s="12"/>
      <c r="AE38" s="235"/>
    </row>
    <row r="39" spans="2:33" ht="42" customHeight="1" x14ac:dyDescent="0.2">
      <c r="B39" s="49"/>
      <c r="C39" s="483"/>
      <c r="D39" s="484"/>
      <c r="E39" s="485"/>
      <c r="F39" s="118"/>
      <c r="G39" s="75" t="s">
        <v>241</v>
      </c>
      <c r="H39" s="8" t="s">
        <v>25</v>
      </c>
      <c r="I39" s="8">
        <v>74</v>
      </c>
      <c r="J39" s="264">
        <v>250</v>
      </c>
      <c r="K39" s="6">
        <v>2</v>
      </c>
      <c r="L39" s="6">
        <v>2</v>
      </c>
      <c r="M39" s="6">
        <v>4</v>
      </c>
      <c r="N39" s="6">
        <v>6</v>
      </c>
      <c r="O39" s="67">
        <f>+K39+L39+M39+N39</f>
        <v>14</v>
      </c>
      <c r="P39" s="6">
        <v>38</v>
      </c>
      <c r="Q39" s="6">
        <v>19</v>
      </c>
      <c r="R39" s="6">
        <v>27</v>
      </c>
      <c r="S39" s="6">
        <v>2</v>
      </c>
      <c r="T39" s="6">
        <f t="shared" si="8"/>
        <v>86</v>
      </c>
      <c r="U39" s="6"/>
      <c r="V39" s="109"/>
      <c r="W39" s="109"/>
      <c r="X39" s="109"/>
      <c r="Y39" s="6"/>
      <c r="Z39" s="6">
        <f t="shared" si="9"/>
        <v>100</v>
      </c>
      <c r="AA39" s="70">
        <f t="shared" si="7"/>
        <v>0.4</v>
      </c>
      <c r="AB39" s="12"/>
      <c r="AC39" s="12"/>
    </row>
    <row r="40" spans="2:33" ht="61.5" customHeight="1" x14ac:dyDescent="0.2">
      <c r="B40" s="49"/>
      <c r="C40" s="201"/>
      <c r="D40" s="202"/>
      <c r="E40" s="203"/>
      <c r="F40" s="118"/>
      <c r="G40" s="66" t="s">
        <v>242</v>
      </c>
      <c r="H40" s="8" t="s">
        <v>25</v>
      </c>
      <c r="I40" s="8">
        <v>39</v>
      </c>
      <c r="J40" s="264">
        <v>50</v>
      </c>
      <c r="K40" s="109" t="s">
        <v>211</v>
      </c>
      <c r="L40" s="109" t="s">
        <v>211</v>
      </c>
      <c r="M40" s="109" t="s">
        <v>211</v>
      </c>
      <c r="N40" s="109" t="s">
        <v>211</v>
      </c>
      <c r="O40" s="109" t="s">
        <v>211</v>
      </c>
      <c r="P40" s="109" t="s">
        <v>211</v>
      </c>
      <c r="Q40" s="109" t="s">
        <v>211</v>
      </c>
      <c r="R40" s="109" t="s">
        <v>211</v>
      </c>
      <c r="S40" s="109" t="s">
        <v>211</v>
      </c>
      <c r="T40" s="109" t="s">
        <v>211</v>
      </c>
      <c r="U40" s="109"/>
      <c r="V40" s="109"/>
      <c r="W40" s="109"/>
      <c r="X40" s="109"/>
      <c r="Y40" s="109"/>
      <c r="Z40" s="109" t="s">
        <v>211</v>
      </c>
      <c r="AA40" s="109" t="s">
        <v>211</v>
      </c>
      <c r="AB40" s="12"/>
      <c r="AC40" s="12"/>
    </row>
    <row r="41" spans="2:33" ht="59.25" customHeight="1" x14ac:dyDescent="0.2">
      <c r="B41" s="49"/>
      <c r="C41" s="483"/>
      <c r="D41" s="484"/>
      <c r="E41" s="485"/>
      <c r="F41" s="118"/>
      <c r="G41" s="66" t="s">
        <v>243</v>
      </c>
      <c r="H41" s="8" t="s">
        <v>25</v>
      </c>
      <c r="I41" s="8">
        <v>282</v>
      </c>
      <c r="J41" s="8">
        <v>282</v>
      </c>
      <c r="K41" s="109" t="s">
        <v>211</v>
      </c>
      <c r="L41" s="6">
        <v>7</v>
      </c>
      <c r="M41" s="6">
        <v>188</v>
      </c>
      <c r="N41" s="109" t="s">
        <v>211</v>
      </c>
      <c r="O41" s="287">
        <f>7+188</f>
        <v>195</v>
      </c>
      <c r="P41" s="109" t="s">
        <v>211</v>
      </c>
      <c r="Q41" s="109" t="s">
        <v>211</v>
      </c>
      <c r="R41" s="109" t="s">
        <v>211</v>
      </c>
      <c r="S41" s="6">
        <v>7</v>
      </c>
      <c r="T41" s="109" t="s">
        <v>400</v>
      </c>
      <c r="U41" s="6"/>
      <c r="V41" s="109"/>
      <c r="W41" s="109"/>
      <c r="X41" s="109"/>
      <c r="Y41" s="6"/>
      <c r="Z41" s="109">
        <f t="shared" si="9"/>
        <v>202</v>
      </c>
      <c r="AA41" s="70">
        <f>SUM(Z41/J41)</f>
        <v>0.71631205673758869</v>
      </c>
      <c r="AB41" s="12"/>
      <c r="AC41" s="12"/>
    </row>
    <row r="42" spans="2:33" ht="78.75" customHeight="1" x14ac:dyDescent="0.2">
      <c r="B42" s="49"/>
      <c r="C42" s="483"/>
      <c r="D42" s="484"/>
      <c r="E42" s="485"/>
      <c r="F42" s="118"/>
      <c r="G42" s="16" t="s">
        <v>244</v>
      </c>
      <c r="H42" s="8" t="s">
        <v>25</v>
      </c>
      <c r="I42" s="92">
        <v>466</v>
      </c>
      <c r="J42" s="266">
        <v>520</v>
      </c>
      <c r="K42" s="6">
        <v>32</v>
      </c>
      <c r="L42" s="6">
        <v>38</v>
      </c>
      <c r="M42" s="6">
        <v>46</v>
      </c>
      <c r="N42" s="6">
        <v>34</v>
      </c>
      <c r="O42" s="67">
        <f>+K42+L42+M42+N42</f>
        <v>150</v>
      </c>
      <c r="P42" s="6">
        <v>43</v>
      </c>
      <c r="Q42" s="6">
        <v>42</v>
      </c>
      <c r="R42" s="6" t="s">
        <v>211</v>
      </c>
      <c r="S42" s="6">
        <v>3</v>
      </c>
      <c r="T42" s="6">
        <f t="shared" si="8"/>
        <v>88</v>
      </c>
      <c r="U42" s="6"/>
      <c r="V42" s="6"/>
      <c r="W42" s="6"/>
      <c r="X42" s="6"/>
      <c r="Y42" s="6"/>
      <c r="Z42" s="6">
        <f t="shared" si="9"/>
        <v>238</v>
      </c>
      <c r="AA42" s="70">
        <f>SUM(Z42/J42)</f>
        <v>0.45769230769230768</v>
      </c>
      <c r="AC42" s="12"/>
    </row>
    <row r="43" spans="2:33" ht="69" customHeight="1" x14ac:dyDescent="0.2">
      <c r="B43" s="49"/>
      <c r="C43" s="483"/>
      <c r="D43" s="484"/>
      <c r="E43" s="485"/>
      <c r="F43" s="66"/>
      <c r="G43" s="16" t="s">
        <v>245</v>
      </c>
      <c r="H43" s="24" t="s">
        <v>25</v>
      </c>
      <c r="I43" s="92">
        <v>10</v>
      </c>
      <c r="J43" s="92">
        <v>10</v>
      </c>
      <c r="K43" s="109" t="s">
        <v>211</v>
      </c>
      <c r="L43" s="109" t="s">
        <v>211</v>
      </c>
      <c r="M43" s="109" t="s">
        <v>211</v>
      </c>
      <c r="N43" s="109" t="s">
        <v>211</v>
      </c>
      <c r="O43" s="109" t="s">
        <v>211</v>
      </c>
      <c r="P43" s="109" t="s">
        <v>211</v>
      </c>
      <c r="Q43" s="6">
        <v>4</v>
      </c>
      <c r="R43" s="109" t="s">
        <v>351</v>
      </c>
      <c r="S43" s="109" t="s">
        <v>211</v>
      </c>
      <c r="T43" s="6">
        <f t="shared" si="8"/>
        <v>6</v>
      </c>
      <c r="U43" s="6"/>
      <c r="V43" s="109"/>
      <c r="W43" s="6"/>
      <c r="X43" s="109"/>
      <c r="Y43" s="6">
        <f>SUM(U43:X43)</f>
        <v>0</v>
      </c>
      <c r="Z43" s="109">
        <f t="shared" si="9"/>
        <v>6</v>
      </c>
      <c r="AA43" s="70">
        <f>SUM(Z43/J43)</f>
        <v>0.6</v>
      </c>
      <c r="AB43" s="12"/>
      <c r="AC43" s="49"/>
    </row>
    <row r="44" spans="2:33" ht="60" customHeight="1" x14ac:dyDescent="0.2">
      <c r="B44" s="49"/>
      <c r="C44" s="525"/>
      <c r="D44" s="525"/>
      <c r="E44" s="525"/>
      <c r="F44" s="66"/>
      <c r="G44" s="16" t="s">
        <v>246</v>
      </c>
      <c r="H44" s="8" t="s">
        <v>25</v>
      </c>
      <c r="I44" s="6">
        <v>5</v>
      </c>
      <c r="J44" s="6">
        <v>5</v>
      </c>
      <c r="K44" s="109" t="s">
        <v>211</v>
      </c>
      <c r="L44" s="109" t="s">
        <v>360</v>
      </c>
      <c r="M44" s="109" t="s">
        <v>211</v>
      </c>
      <c r="N44" s="109" t="s">
        <v>211</v>
      </c>
      <c r="O44" s="109" t="s">
        <v>360</v>
      </c>
      <c r="P44" s="109" t="s">
        <v>211</v>
      </c>
      <c r="Q44" s="6">
        <v>1</v>
      </c>
      <c r="R44" s="6" t="s">
        <v>211</v>
      </c>
      <c r="S44" s="109" t="s">
        <v>211</v>
      </c>
      <c r="T44" s="6">
        <f t="shared" si="8"/>
        <v>1</v>
      </c>
      <c r="U44" s="6"/>
      <c r="V44" s="109"/>
      <c r="W44" s="6"/>
      <c r="X44" s="109"/>
      <c r="Y44" s="6">
        <f>SUM(U44:X44)</f>
        <v>0</v>
      </c>
      <c r="Z44" s="109" t="s">
        <v>360</v>
      </c>
      <c r="AA44" s="254" t="s">
        <v>365</v>
      </c>
      <c r="AB44" s="9"/>
      <c r="AC44" s="12"/>
      <c r="AD44" s="184">
        <f>60+30+100+0</f>
        <v>190</v>
      </c>
    </row>
    <row r="45" spans="2:33" ht="64.5" customHeight="1" x14ac:dyDescent="0.2">
      <c r="B45" s="49"/>
      <c r="C45" s="483"/>
      <c r="D45" s="484"/>
      <c r="E45" s="485"/>
      <c r="F45" s="66" t="s">
        <v>395</v>
      </c>
      <c r="G45" s="51"/>
      <c r="H45" s="76" t="s">
        <v>23</v>
      </c>
      <c r="I45" s="10">
        <v>1881</v>
      </c>
      <c r="J45" s="263">
        <v>731</v>
      </c>
      <c r="K45" s="110" t="s">
        <v>211</v>
      </c>
      <c r="L45" s="110" t="s">
        <v>211</v>
      </c>
      <c r="M45" s="110" t="s">
        <v>211</v>
      </c>
      <c r="N45" s="110" t="s">
        <v>378</v>
      </c>
      <c r="O45" s="109" t="s">
        <v>378</v>
      </c>
      <c r="P45" s="7">
        <v>365</v>
      </c>
      <c r="Q45" s="110" t="s">
        <v>211</v>
      </c>
      <c r="R45" s="110" t="s">
        <v>211</v>
      </c>
      <c r="S45" s="110" t="s">
        <v>211</v>
      </c>
      <c r="T45" s="110">
        <f t="shared" si="8"/>
        <v>365</v>
      </c>
      <c r="U45" s="7"/>
      <c r="V45" s="7"/>
      <c r="W45" s="7"/>
      <c r="X45" s="7"/>
      <c r="Y45" s="7"/>
      <c r="Z45" s="109" t="s">
        <v>399</v>
      </c>
      <c r="AA45" s="70">
        <f>SUM(Z45/J45)</f>
        <v>0.63611491108071139</v>
      </c>
      <c r="AB45" s="12"/>
      <c r="AC45" s="12"/>
    </row>
    <row r="46" spans="2:33" ht="32.25" customHeight="1" x14ac:dyDescent="0.2">
      <c r="B46" s="49"/>
      <c r="C46" s="483"/>
      <c r="D46" s="484"/>
      <c r="E46" s="485"/>
      <c r="F46" s="146"/>
      <c r="G46" s="16" t="s">
        <v>26</v>
      </c>
      <c r="H46" s="8" t="s">
        <v>25</v>
      </c>
      <c r="I46" s="67">
        <v>1881</v>
      </c>
      <c r="J46" s="265">
        <v>731</v>
      </c>
      <c r="K46" s="109" t="s">
        <v>211</v>
      </c>
      <c r="L46" s="109" t="s">
        <v>211</v>
      </c>
      <c r="M46" s="109" t="s">
        <v>211</v>
      </c>
      <c r="N46" s="6">
        <v>100</v>
      </c>
      <c r="O46" s="109" t="s">
        <v>378</v>
      </c>
      <c r="P46" s="6">
        <v>365</v>
      </c>
      <c r="Q46" s="109" t="s">
        <v>211</v>
      </c>
      <c r="R46" s="109" t="s">
        <v>211</v>
      </c>
      <c r="S46" s="109" t="s">
        <v>211</v>
      </c>
      <c r="T46" s="6">
        <f t="shared" si="8"/>
        <v>365</v>
      </c>
      <c r="U46" s="6"/>
      <c r="V46" s="6"/>
      <c r="W46" s="6"/>
      <c r="X46" s="6"/>
      <c r="Y46" s="6"/>
      <c r="Z46" s="109" t="s">
        <v>399</v>
      </c>
      <c r="AA46" s="70">
        <f>SUM(Z46/J46)</f>
        <v>0.63611491108071139</v>
      </c>
      <c r="AB46" s="9"/>
      <c r="AC46" s="55"/>
      <c r="AD46" s="63">
        <f>2+2+2+0</f>
        <v>6</v>
      </c>
    </row>
    <row r="47" spans="2:33" s="188" customFormat="1" ht="18.75" customHeight="1" x14ac:dyDescent="0.2">
      <c r="B47" s="351" t="s">
        <v>106</v>
      </c>
      <c r="C47" s="352"/>
      <c r="D47" s="352"/>
      <c r="E47" s="352"/>
      <c r="F47" s="352"/>
      <c r="G47" s="352"/>
      <c r="H47" s="352"/>
      <c r="I47" s="352"/>
      <c r="J47" s="352"/>
      <c r="K47" s="352"/>
      <c r="L47" s="352"/>
      <c r="M47" s="352"/>
      <c r="N47" s="352"/>
      <c r="O47" s="352"/>
      <c r="P47" s="352"/>
      <c r="Q47" s="352"/>
      <c r="R47" s="352"/>
      <c r="S47" s="352"/>
      <c r="T47" s="352"/>
      <c r="U47" s="352"/>
      <c r="V47" s="352"/>
      <c r="W47" s="352"/>
      <c r="X47" s="352"/>
      <c r="Y47" s="352"/>
      <c r="Z47" s="352"/>
      <c r="AA47" s="352"/>
      <c r="AB47" s="352"/>
      <c r="AC47" s="226"/>
    </row>
    <row r="48" spans="2:33" s="188" customFormat="1" ht="27.75" customHeight="1" x14ac:dyDescent="0.2">
      <c r="B48" s="537" t="s">
        <v>102</v>
      </c>
      <c r="C48" s="537"/>
      <c r="D48" s="537"/>
      <c r="E48" s="537"/>
      <c r="F48" s="524" t="s">
        <v>188</v>
      </c>
      <c r="G48" s="524"/>
      <c r="H48" s="524"/>
      <c r="I48" s="524"/>
      <c r="J48" s="524"/>
      <c r="K48" s="524"/>
      <c r="L48" s="524"/>
      <c r="M48" s="524"/>
      <c r="N48" s="524"/>
      <c r="O48" s="524"/>
      <c r="P48" s="524"/>
      <c r="Q48" s="524"/>
      <c r="R48" s="524"/>
      <c r="S48" s="524"/>
      <c r="T48" s="524"/>
      <c r="U48" s="524"/>
      <c r="V48" s="524"/>
      <c r="W48" s="524"/>
      <c r="X48" s="524"/>
      <c r="Y48" s="524"/>
      <c r="Z48" s="524"/>
      <c r="AA48" s="524"/>
      <c r="AB48" s="524"/>
      <c r="AC48" s="524"/>
    </row>
    <row r="49" spans="2:32" s="188" customFormat="1" ht="17.25" customHeight="1" x14ac:dyDescent="0.2">
      <c r="B49" s="469" t="s">
        <v>103</v>
      </c>
      <c r="C49" s="469"/>
      <c r="D49" s="469"/>
      <c r="E49" s="469"/>
      <c r="F49" s="516" t="s">
        <v>107</v>
      </c>
      <c r="G49" s="516"/>
      <c r="H49" s="516"/>
      <c r="I49" s="516"/>
      <c r="J49" s="516"/>
      <c r="K49" s="516"/>
      <c r="L49" s="516"/>
      <c r="M49" s="516"/>
      <c r="N49" s="516"/>
      <c r="O49" s="516"/>
      <c r="P49" s="516"/>
      <c r="Q49" s="516"/>
      <c r="R49" s="516"/>
      <c r="S49" s="516"/>
      <c r="T49" s="516"/>
      <c r="U49" s="516"/>
      <c r="V49" s="516"/>
      <c r="W49" s="516"/>
      <c r="X49" s="516"/>
      <c r="Y49" s="516"/>
      <c r="Z49" s="516"/>
      <c r="AA49" s="516"/>
      <c r="AB49" s="516"/>
      <c r="AC49" s="516"/>
    </row>
    <row r="50" spans="2:32" ht="21" customHeight="1" x14ac:dyDescent="0.2">
      <c r="B50" s="90"/>
      <c r="C50" s="345" t="s">
        <v>235</v>
      </c>
      <c r="D50" s="346"/>
      <c r="E50" s="346"/>
      <c r="F50" s="346"/>
      <c r="G50" s="346"/>
      <c r="H50" s="346"/>
      <c r="I50" s="346"/>
      <c r="J50" s="346"/>
      <c r="K50" s="346"/>
      <c r="L50" s="346"/>
      <c r="M50" s="346"/>
      <c r="N50" s="346"/>
      <c r="O50" s="346"/>
      <c r="P50" s="346"/>
      <c r="Q50" s="346"/>
      <c r="R50" s="346"/>
      <c r="S50" s="346"/>
      <c r="T50" s="346"/>
      <c r="U50" s="346"/>
      <c r="V50" s="346"/>
      <c r="W50" s="346"/>
      <c r="X50" s="346"/>
      <c r="Y50" s="346"/>
      <c r="Z50" s="346"/>
      <c r="AA50" s="346"/>
      <c r="AB50" s="346"/>
      <c r="AC50" s="347"/>
    </row>
    <row r="51" spans="2:32" ht="59.25" customHeight="1" x14ac:dyDescent="0.2">
      <c r="B51" s="191" t="s">
        <v>139</v>
      </c>
      <c r="C51" s="379" t="s">
        <v>94</v>
      </c>
      <c r="D51" s="380"/>
      <c r="E51" s="381"/>
      <c r="F51" s="192" t="s">
        <v>95</v>
      </c>
      <c r="G51" s="193" t="s">
        <v>4</v>
      </c>
      <c r="H51" s="194" t="s">
        <v>3</v>
      </c>
      <c r="I51" s="195" t="s">
        <v>96</v>
      </c>
      <c r="J51" s="195" t="s">
        <v>150</v>
      </c>
      <c r="K51" s="1" t="s">
        <v>5</v>
      </c>
      <c r="L51" s="1" t="s">
        <v>6</v>
      </c>
      <c r="M51" s="1" t="s">
        <v>7</v>
      </c>
      <c r="N51" s="1" t="s">
        <v>8</v>
      </c>
      <c r="O51" s="35" t="s">
        <v>157</v>
      </c>
      <c r="P51" s="2" t="s">
        <v>9</v>
      </c>
      <c r="Q51" s="2" t="s">
        <v>10</v>
      </c>
      <c r="R51" s="2" t="s">
        <v>11</v>
      </c>
      <c r="S51" s="2" t="s">
        <v>12</v>
      </c>
      <c r="T51" s="35" t="s">
        <v>158</v>
      </c>
      <c r="U51" s="2" t="s">
        <v>13</v>
      </c>
      <c r="V51" s="2" t="s">
        <v>14</v>
      </c>
      <c r="W51" s="2" t="s">
        <v>15</v>
      </c>
      <c r="X51" s="2" t="s">
        <v>16</v>
      </c>
      <c r="Y51" s="35" t="s">
        <v>159</v>
      </c>
      <c r="Z51" s="196" t="s">
        <v>97</v>
      </c>
      <c r="AA51" s="196" t="s">
        <v>98</v>
      </c>
      <c r="AB51" s="197" t="s">
        <v>248</v>
      </c>
      <c r="AC51" s="196" t="s">
        <v>99</v>
      </c>
    </row>
    <row r="52" spans="2:32" ht="54" customHeight="1" x14ac:dyDescent="0.2">
      <c r="B52" s="31">
        <v>2</v>
      </c>
      <c r="C52" s="348" t="s">
        <v>255</v>
      </c>
      <c r="D52" s="348"/>
      <c r="E52" s="348"/>
      <c r="F52" s="204"/>
      <c r="G52" s="60"/>
      <c r="H52" s="147" t="s">
        <v>23</v>
      </c>
      <c r="I52" s="10">
        <v>27500</v>
      </c>
      <c r="J52" s="268">
        <v>49942</v>
      </c>
      <c r="K52" s="69">
        <f>+K53+K54</f>
        <v>3179</v>
      </c>
      <c r="L52" s="69">
        <f>+L53+L54</f>
        <v>3482</v>
      </c>
      <c r="M52" s="69">
        <f>+M53+M54</f>
        <v>3014</v>
      </c>
      <c r="N52" s="69">
        <f>+N53+N54</f>
        <v>2470</v>
      </c>
      <c r="O52" s="10">
        <f t="shared" ref="O52:O60" si="10">SUM(K52:N52)</f>
        <v>12145</v>
      </c>
      <c r="P52" s="69">
        <f>+P53+P54</f>
        <v>3466</v>
      </c>
      <c r="Q52" s="69">
        <f>+Q53+Q54</f>
        <v>2838</v>
      </c>
      <c r="R52" s="69">
        <f>+R53+R54</f>
        <v>3274</v>
      </c>
      <c r="S52" s="69">
        <f>SUM(S53:S54)</f>
        <v>2891</v>
      </c>
      <c r="T52" s="10">
        <f t="shared" ref="T52:T60" si="11">SUM(P52+Q52+R52+S52)</f>
        <v>12469</v>
      </c>
      <c r="U52" s="69"/>
      <c r="V52" s="110"/>
      <c r="W52" s="110"/>
      <c r="X52" s="69"/>
      <c r="Y52" s="10">
        <f>SUM(Y53:Y54)</f>
        <v>0</v>
      </c>
      <c r="Z52" s="10">
        <f>SUM(Z53:Z54)</f>
        <v>24614</v>
      </c>
      <c r="AA52" s="42">
        <f t="shared" ref="AA52:AA60" si="12">SUM(Z52/J52)</f>
        <v>0.49285170798125827</v>
      </c>
      <c r="AB52" s="15">
        <v>14286591</v>
      </c>
      <c r="AC52" s="270" t="s">
        <v>426</v>
      </c>
      <c r="AD52" s="63">
        <f>909+709+709+400</f>
        <v>2727</v>
      </c>
    </row>
    <row r="53" spans="2:32" ht="59.25" customHeight="1" outlineLevel="1" x14ac:dyDescent="0.2">
      <c r="B53" s="49"/>
      <c r="C53" s="453"/>
      <c r="D53" s="453"/>
      <c r="E53" s="453"/>
      <c r="F53" s="66" t="s">
        <v>396</v>
      </c>
      <c r="G53" s="60"/>
      <c r="H53" s="147" t="s">
        <v>23</v>
      </c>
      <c r="I53" s="10">
        <v>4900</v>
      </c>
      <c r="J53" s="263">
        <v>19173</v>
      </c>
      <c r="K53" s="95">
        <v>435</v>
      </c>
      <c r="L53" s="10">
        <v>540</v>
      </c>
      <c r="M53" s="10">
        <v>438</v>
      </c>
      <c r="N53" s="10">
        <v>447</v>
      </c>
      <c r="O53" s="10">
        <f t="shared" si="10"/>
        <v>1860</v>
      </c>
      <c r="P53" s="10">
        <v>592</v>
      </c>
      <c r="Q53" s="10">
        <v>451</v>
      </c>
      <c r="R53" s="10">
        <v>524</v>
      </c>
      <c r="S53" s="10">
        <v>410</v>
      </c>
      <c r="T53" s="10">
        <f t="shared" si="11"/>
        <v>1977</v>
      </c>
      <c r="U53" s="10"/>
      <c r="V53" s="110"/>
      <c r="W53" s="110"/>
      <c r="X53" s="10"/>
      <c r="Y53" s="10">
        <f>+U53+V53+W53+X53</f>
        <v>0</v>
      </c>
      <c r="Z53" s="10">
        <f>SUM(O53+T53+Y53)</f>
        <v>3837</v>
      </c>
      <c r="AA53" s="42">
        <f t="shared" si="12"/>
        <v>0.20012517602879049</v>
      </c>
      <c r="AB53" s="55"/>
      <c r="AC53" s="55"/>
      <c r="AD53" s="63">
        <f>443+343+343+200</f>
        <v>1329</v>
      </c>
      <c r="AF53" s="232"/>
    </row>
    <row r="54" spans="2:32" ht="57" customHeight="1" outlineLevel="1" x14ac:dyDescent="0.2">
      <c r="B54" s="49"/>
      <c r="D54" s="182"/>
      <c r="E54" s="183"/>
      <c r="F54" s="66" t="s">
        <v>397</v>
      </c>
      <c r="G54" s="60"/>
      <c r="H54" s="147" t="s">
        <v>23</v>
      </c>
      <c r="I54" s="10">
        <v>22600</v>
      </c>
      <c r="J54" s="263">
        <v>30769</v>
      </c>
      <c r="K54" s="95">
        <v>2744</v>
      </c>
      <c r="L54" s="10">
        <v>2942</v>
      </c>
      <c r="M54" s="10">
        <v>2576</v>
      </c>
      <c r="N54" s="10">
        <v>2023</v>
      </c>
      <c r="O54" s="10">
        <f t="shared" si="10"/>
        <v>10285</v>
      </c>
      <c r="P54" s="10">
        <v>2874</v>
      </c>
      <c r="Q54" s="10">
        <v>2387</v>
      </c>
      <c r="R54" s="10">
        <v>2750</v>
      </c>
      <c r="S54" s="10">
        <v>2481</v>
      </c>
      <c r="T54" s="10">
        <f t="shared" si="11"/>
        <v>10492</v>
      </c>
      <c r="U54" s="10"/>
      <c r="V54" s="110"/>
      <c r="W54" s="110"/>
      <c r="X54" s="10"/>
      <c r="Y54" s="10">
        <f t="shared" ref="Y54:Y60" si="13">+U54+V54+W54+X54</f>
        <v>0</v>
      </c>
      <c r="Z54" s="10">
        <f t="shared" ref="Z54:Z60" si="14">SUM(O54+T54+Y54)</f>
        <v>20777</v>
      </c>
      <c r="AA54" s="42">
        <f t="shared" si="12"/>
        <v>0.67525756443173324</v>
      </c>
      <c r="AB54" s="55"/>
      <c r="AC54" s="55"/>
      <c r="AD54" s="63">
        <f>466+366+366+200</f>
        <v>1398</v>
      </c>
    </row>
    <row r="55" spans="2:32" ht="32.25" customHeight="1" x14ac:dyDescent="0.2">
      <c r="B55" s="49"/>
      <c r="C55" s="340"/>
      <c r="D55" s="341"/>
      <c r="E55" s="342"/>
      <c r="F55" s="118"/>
      <c r="G55" s="16" t="s">
        <v>249</v>
      </c>
      <c r="H55" s="8" t="s">
        <v>29</v>
      </c>
      <c r="I55" s="67">
        <v>6700</v>
      </c>
      <c r="J55" s="265">
        <v>8500</v>
      </c>
      <c r="K55" s="67">
        <v>1043</v>
      </c>
      <c r="L55" s="6">
        <v>926</v>
      </c>
      <c r="M55" s="6">
        <v>967</v>
      </c>
      <c r="N55" s="6">
        <v>595</v>
      </c>
      <c r="O55" s="67">
        <f t="shared" si="10"/>
        <v>3531</v>
      </c>
      <c r="P55" s="67">
        <v>1071</v>
      </c>
      <c r="Q55" s="67">
        <v>781</v>
      </c>
      <c r="R55" s="67">
        <v>987</v>
      </c>
      <c r="S55" s="67">
        <v>1146</v>
      </c>
      <c r="T55" s="67">
        <f t="shared" si="11"/>
        <v>3985</v>
      </c>
      <c r="U55" s="67"/>
      <c r="V55" s="67"/>
      <c r="W55" s="67"/>
      <c r="X55" s="67"/>
      <c r="Y55" s="67">
        <f t="shared" si="13"/>
        <v>0</v>
      </c>
      <c r="Z55" s="67">
        <f t="shared" si="14"/>
        <v>7516</v>
      </c>
      <c r="AA55" s="70">
        <f t="shared" si="12"/>
        <v>0.88423529411764701</v>
      </c>
      <c r="AB55" s="17"/>
      <c r="AC55" s="17"/>
    </row>
    <row r="56" spans="2:32" ht="21" customHeight="1" x14ac:dyDescent="0.2">
      <c r="B56" s="49"/>
      <c r="C56" s="453"/>
      <c r="D56" s="453"/>
      <c r="E56" s="453"/>
      <c r="F56" s="66"/>
      <c r="G56" s="16" t="s">
        <v>250</v>
      </c>
      <c r="H56" s="8" t="s">
        <v>29</v>
      </c>
      <c r="I56" s="67">
        <v>32500</v>
      </c>
      <c r="J56" s="269">
        <v>54500</v>
      </c>
      <c r="K56" s="130">
        <v>4786</v>
      </c>
      <c r="L56" s="68">
        <v>4289</v>
      </c>
      <c r="M56" s="68">
        <v>4794</v>
      </c>
      <c r="N56" s="68">
        <v>4027</v>
      </c>
      <c r="O56" s="67">
        <f t="shared" si="10"/>
        <v>17896</v>
      </c>
      <c r="P56" s="67">
        <v>4396</v>
      </c>
      <c r="Q56" s="67">
        <v>3994</v>
      </c>
      <c r="R56" s="67">
        <v>5195</v>
      </c>
      <c r="S56" s="67">
        <v>4565</v>
      </c>
      <c r="T56" s="67">
        <f t="shared" si="11"/>
        <v>18150</v>
      </c>
      <c r="U56" s="67"/>
      <c r="V56" s="67"/>
      <c r="W56" s="6"/>
      <c r="X56" s="67"/>
      <c r="Y56" s="67">
        <f t="shared" si="13"/>
        <v>0</v>
      </c>
      <c r="Z56" s="67">
        <f t="shared" si="14"/>
        <v>36046</v>
      </c>
      <c r="AA56" s="65">
        <f t="shared" si="12"/>
        <v>0.66139449541284401</v>
      </c>
      <c r="AB56" s="17"/>
      <c r="AC56" s="17"/>
      <c r="AE56" s="236"/>
    </row>
    <row r="57" spans="2:32" ht="31.5" customHeight="1" x14ac:dyDescent="0.2">
      <c r="B57" s="49"/>
      <c r="C57" s="340"/>
      <c r="D57" s="341"/>
      <c r="E57" s="342"/>
      <c r="F57" s="118"/>
      <c r="G57" s="16" t="s">
        <v>251</v>
      </c>
      <c r="H57" s="8" t="s">
        <v>29</v>
      </c>
      <c r="I57" s="67">
        <v>7900</v>
      </c>
      <c r="J57" s="265">
        <v>9900</v>
      </c>
      <c r="K57" s="67">
        <v>1069</v>
      </c>
      <c r="L57" s="6">
        <v>963</v>
      </c>
      <c r="M57" s="6">
        <v>952</v>
      </c>
      <c r="N57" s="6">
        <v>815</v>
      </c>
      <c r="O57" s="67">
        <f t="shared" si="10"/>
        <v>3799</v>
      </c>
      <c r="P57" s="67">
        <v>1100</v>
      </c>
      <c r="Q57" s="67">
        <v>891</v>
      </c>
      <c r="R57" s="67">
        <v>1195</v>
      </c>
      <c r="S57" s="67">
        <v>1256</v>
      </c>
      <c r="T57" s="67">
        <f t="shared" si="11"/>
        <v>4442</v>
      </c>
      <c r="U57" s="67"/>
      <c r="V57" s="67"/>
      <c r="W57" s="6"/>
      <c r="X57" s="67"/>
      <c r="Y57" s="67">
        <f t="shared" si="13"/>
        <v>0</v>
      </c>
      <c r="Z57" s="67">
        <f t="shared" si="14"/>
        <v>8241</v>
      </c>
      <c r="AA57" s="65">
        <f t="shared" si="12"/>
        <v>0.8324242424242424</v>
      </c>
      <c r="AB57" s="17"/>
      <c r="AC57" s="17"/>
    </row>
    <row r="58" spans="2:32" ht="29.25" customHeight="1" x14ac:dyDescent="0.2">
      <c r="B58" s="49"/>
      <c r="C58" s="340"/>
      <c r="D58" s="341"/>
      <c r="E58" s="342"/>
      <c r="F58" s="118"/>
      <c r="G58" s="16" t="s">
        <v>252</v>
      </c>
      <c r="H58" s="8" t="s">
        <v>29</v>
      </c>
      <c r="I58" s="67">
        <v>800</v>
      </c>
      <c r="J58" s="265">
        <v>1500</v>
      </c>
      <c r="K58" s="6">
        <v>145</v>
      </c>
      <c r="L58" s="6">
        <v>223</v>
      </c>
      <c r="M58" s="6">
        <v>222</v>
      </c>
      <c r="N58" s="6">
        <v>143</v>
      </c>
      <c r="O58" s="67">
        <f t="shared" si="10"/>
        <v>733</v>
      </c>
      <c r="P58" s="67">
        <v>194</v>
      </c>
      <c r="Q58" s="67">
        <v>202</v>
      </c>
      <c r="R58" s="67">
        <v>418</v>
      </c>
      <c r="S58" s="67">
        <v>381</v>
      </c>
      <c r="T58" s="67">
        <f t="shared" si="11"/>
        <v>1195</v>
      </c>
      <c r="U58" s="67"/>
      <c r="V58" s="67"/>
      <c r="W58" s="6"/>
      <c r="X58" s="67"/>
      <c r="Y58" s="67">
        <f t="shared" si="13"/>
        <v>0</v>
      </c>
      <c r="Z58" s="67">
        <v>1500</v>
      </c>
      <c r="AA58" s="306">
        <f t="shared" si="12"/>
        <v>1</v>
      </c>
      <c r="AB58" s="17"/>
      <c r="AC58" s="135"/>
      <c r="AF58" s="236"/>
    </row>
    <row r="59" spans="2:32" ht="41.25" customHeight="1" x14ac:dyDescent="0.2">
      <c r="B59" s="49"/>
      <c r="C59" s="181"/>
      <c r="D59" s="182"/>
      <c r="E59" s="183"/>
      <c r="F59" s="118"/>
      <c r="G59" s="16" t="s">
        <v>253</v>
      </c>
      <c r="H59" s="8" t="s">
        <v>29</v>
      </c>
      <c r="I59" s="67">
        <v>10100</v>
      </c>
      <c r="J59" s="67">
        <v>10100</v>
      </c>
      <c r="K59" s="67">
        <v>1447</v>
      </c>
      <c r="L59" s="6">
        <v>1254</v>
      </c>
      <c r="M59" s="67">
        <v>1315</v>
      </c>
      <c r="N59" s="6">
        <v>892</v>
      </c>
      <c r="O59" s="67">
        <f t="shared" si="10"/>
        <v>4908</v>
      </c>
      <c r="P59" s="67">
        <v>1257</v>
      </c>
      <c r="Q59" s="67">
        <v>1275</v>
      </c>
      <c r="R59" s="67">
        <v>1766</v>
      </c>
      <c r="S59" s="67">
        <v>1873</v>
      </c>
      <c r="T59" s="67">
        <f t="shared" si="11"/>
        <v>6171</v>
      </c>
      <c r="U59" s="67"/>
      <c r="V59" s="67"/>
      <c r="W59" s="6"/>
      <c r="X59" s="67"/>
      <c r="Y59" s="67">
        <f t="shared" si="13"/>
        <v>0</v>
      </c>
      <c r="Z59" s="67">
        <v>10100</v>
      </c>
      <c r="AA59" s="306">
        <f t="shared" si="12"/>
        <v>1</v>
      </c>
      <c r="AB59" s="17"/>
      <c r="AC59" s="17"/>
      <c r="AF59" s="236"/>
    </row>
    <row r="60" spans="2:32" ht="33" customHeight="1" x14ac:dyDescent="0.2">
      <c r="B60" s="49"/>
      <c r="C60" s="453"/>
      <c r="D60" s="453"/>
      <c r="E60" s="453"/>
      <c r="F60" s="66"/>
      <c r="G60" s="16" t="s">
        <v>254</v>
      </c>
      <c r="H60" s="8" t="s">
        <v>28</v>
      </c>
      <c r="I60" s="67">
        <v>105</v>
      </c>
      <c r="J60" s="265">
        <v>120</v>
      </c>
      <c r="K60" s="6">
        <v>1</v>
      </c>
      <c r="L60" s="6">
        <v>6</v>
      </c>
      <c r="M60" s="6">
        <v>8</v>
      </c>
      <c r="N60" s="6">
        <v>16</v>
      </c>
      <c r="O60" s="67">
        <f t="shared" si="10"/>
        <v>31</v>
      </c>
      <c r="P60" s="67">
        <v>15</v>
      </c>
      <c r="Q60" s="67">
        <v>10</v>
      </c>
      <c r="R60" s="67">
        <v>15</v>
      </c>
      <c r="S60" s="67">
        <v>14</v>
      </c>
      <c r="T60" s="67">
        <f t="shared" si="11"/>
        <v>54</v>
      </c>
      <c r="U60" s="67"/>
      <c r="V60" s="67"/>
      <c r="W60" s="6"/>
      <c r="X60" s="6"/>
      <c r="Y60" s="67">
        <f t="shared" si="13"/>
        <v>0</v>
      </c>
      <c r="Z60" s="67">
        <f t="shared" si="14"/>
        <v>85</v>
      </c>
      <c r="AA60" s="65">
        <f t="shared" si="12"/>
        <v>0.70833333333333337</v>
      </c>
      <c r="AB60" s="17"/>
      <c r="AC60" s="17"/>
      <c r="AE60" s="232"/>
    </row>
    <row r="61" spans="2:32" s="188" customFormat="1" ht="15.75" customHeight="1" x14ac:dyDescent="0.2">
      <c r="B61" s="351" t="s">
        <v>152</v>
      </c>
      <c r="C61" s="352"/>
      <c r="D61" s="352"/>
      <c r="E61" s="352"/>
      <c r="F61" s="352"/>
      <c r="G61" s="352"/>
      <c r="H61" s="352"/>
      <c r="I61" s="352"/>
      <c r="J61" s="352"/>
      <c r="K61" s="352"/>
      <c r="L61" s="352"/>
      <c r="M61" s="352"/>
      <c r="N61" s="352"/>
      <c r="O61" s="352"/>
      <c r="P61" s="352"/>
      <c r="Q61" s="352"/>
      <c r="R61" s="352"/>
      <c r="S61" s="352"/>
      <c r="T61" s="352"/>
      <c r="U61" s="352"/>
      <c r="V61" s="352"/>
      <c r="W61" s="352"/>
      <c r="X61" s="352"/>
      <c r="Y61" s="352"/>
      <c r="Z61" s="352"/>
      <c r="AA61" s="352"/>
      <c r="AB61" s="352"/>
      <c r="AC61" s="221"/>
    </row>
    <row r="62" spans="2:32" s="188" customFormat="1" ht="31.5" customHeight="1" x14ac:dyDescent="0.2">
      <c r="B62" s="469" t="s">
        <v>102</v>
      </c>
      <c r="C62" s="469"/>
      <c r="D62" s="469"/>
      <c r="E62" s="469"/>
      <c r="F62" s="518" t="s">
        <v>151</v>
      </c>
      <c r="G62" s="519"/>
      <c r="H62" s="519"/>
      <c r="I62" s="519"/>
      <c r="J62" s="519"/>
      <c r="K62" s="519"/>
      <c r="L62" s="519"/>
      <c r="M62" s="519"/>
      <c r="N62" s="519"/>
      <c r="O62" s="519"/>
      <c r="P62" s="519"/>
      <c r="Q62" s="519"/>
      <c r="R62" s="519"/>
      <c r="S62" s="519"/>
      <c r="T62" s="519"/>
      <c r="U62" s="519"/>
      <c r="V62" s="519"/>
      <c r="W62" s="519"/>
      <c r="X62" s="519"/>
      <c r="Y62" s="519"/>
      <c r="Z62" s="519"/>
      <c r="AA62" s="519"/>
      <c r="AB62" s="519"/>
      <c r="AC62" s="520"/>
    </row>
    <row r="63" spans="2:32" s="188" customFormat="1" ht="17.25" customHeight="1" x14ac:dyDescent="0.2">
      <c r="B63" s="469" t="s">
        <v>103</v>
      </c>
      <c r="C63" s="469"/>
      <c r="D63" s="469"/>
      <c r="E63" s="469"/>
      <c r="F63" s="476" t="s">
        <v>108</v>
      </c>
      <c r="G63" s="477"/>
      <c r="H63" s="477"/>
      <c r="I63" s="477"/>
      <c r="J63" s="477"/>
      <c r="K63" s="477"/>
      <c r="L63" s="477"/>
      <c r="M63" s="477"/>
      <c r="N63" s="477"/>
      <c r="O63" s="477"/>
      <c r="P63" s="477"/>
      <c r="Q63" s="477"/>
      <c r="R63" s="477"/>
      <c r="S63" s="477"/>
      <c r="T63" s="477"/>
      <c r="U63" s="477"/>
      <c r="V63" s="477"/>
      <c r="W63" s="477"/>
      <c r="X63" s="477"/>
      <c r="Y63" s="477"/>
      <c r="Z63" s="477"/>
      <c r="AA63" s="477"/>
      <c r="AB63" s="477"/>
      <c r="AC63" s="478"/>
    </row>
    <row r="64" spans="2:32" ht="21" customHeight="1" x14ac:dyDescent="0.2">
      <c r="B64" s="90"/>
      <c r="C64" s="345" t="s">
        <v>235</v>
      </c>
      <c r="D64" s="346"/>
      <c r="E64" s="346"/>
      <c r="F64" s="346"/>
      <c r="G64" s="346"/>
      <c r="H64" s="346"/>
      <c r="I64" s="346"/>
      <c r="J64" s="346"/>
      <c r="K64" s="346"/>
      <c r="L64" s="346"/>
      <c r="M64" s="346"/>
      <c r="N64" s="346"/>
      <c r="O64" s="346"/>
      <c r="P64" s="346"/>
      <c r="Q64" s="346"/>
      <c r="R64" s="346"/>
      <c r="S64" s="346"/>
      <c r="T64" s="346"/>
      <c r="U64" s="346"/>
      <c r="V64" s="346"/>
      <c r="W64" s="346"/>
      <c r="X64" s="346"/>
      <c r="Y64" s="346"/>
      <c r="Z64" s="346"/>
      <c r="AA64" s="346"/>
      <c r="AB64" s="346"/>
      <c r="AC64" s="347"/>
    </row>
    <row r="65" spans="2:30" ht="51" customHeight="1" x14ac:dyDescent="0.2">
      <c r="B65" s="191" t="s">
        <v>139</v>
      </c>
      <c r="C65" s="415" t="s">
        <v>94</v>
      </c>
      <c r="D65" s="416"/>
      <c r="E65" s="417"/>
      <c r="F65" s="192" t="s">
        <v>95</v>
      </c>
      <c r="G65" s="195" t="s">
        <v>4</v>
      </c>
      <c r="H65" s="193" t="s">
        <v>3</v>
      </c>
      <c r="I65" s="193" t="s">
        <v>96</v>
      </c>
      <c r="J65" s="195" t="s">
        <v>150</v>
      </c>
      <c r="K65" s="85" t="s">
        <v>5</v>
      </c>
      <c r="L65" s="85" t="s">
        <v>6</v>
      </c>
      <c r="M65" s="85" t="s">
        <v>7</v>
      </c>
      <c r="N65" s="85" t="s">
        <v>8</v>
      </c>
      <c r="O65" s="86" t="s">
        <v>157</v>
      </c>
      <c r="P65" s="87" t="s">
        <v>9</v>
      </c>
      <c r="Q65" s="87" t="s">
        <v>10</v>
      </c>
      <c r="R65" s="87" t="s">
        <v>11</v>
      </c>
      <c r="S65" s="87" t="s">
        <v>12</v>
      </c>
      <c r="T65" s="86" t="s">
        <v>158</v>
      </c>
      <c r="U65" s="87" t="s">
        <v>13</v>
      </c>
      <c r="V65" s="87" t="s">
        <v>14</v>
      </c>
      <c r="W65" s="87" t="s">
        <v>15</v>
      </c>
      <c r="X65" s="87" t="s">
        <v>16</v>
      </c>
      <c r="Y65" s="86" t="s">
        <v>159</v>
      </c>
      <c r="Z65" s="256" t="s">
        <v>97</v>
      </c>
      <c r="AA65" s="256" t="s">
        <v>98</v>
      </c>
      <c r="AB65" s="257" t="s">
        <v>256</v>
      </c>
      <c r="AC65" s="256" t="s">
        <v>99</v>
      </c>
    </row>
    <row r="66" spans="2:30" ht="81" customHeight="1" x14ac:dyDescent="0.2">
      <c r="B66" s="31">
        <v>3</v>
      </c>
      <c r="C66" s="348" t="s">
        <v>257</v>
      </c>
      <c r="D66" s="348"/>
      <c r="E66" s="348"/>
      <c r="F66" s="205"/>
      <c r="G66" s="61"/>
      <c r="H66" s="8" t="s">
        <v>23</v>
      </c>
      <c r="I66" s="69">
        <f>+I67+I92</f>
        <v>219408</v>
      </c>
      <c r="J66" s="244">
        <v>239075</v>
      </c>
      <c r="K66" s="69">
        <f>+K67+K92</f>
        <v>20444</v>
      </c>
      <c r="L66" s="69">
        <f>+L67+L92</f>
        <v>19739</v>
      </c>
      <c r="M66" s="69">
        <f>+M67+M92</f>
        <v>21146</v>
      </c>
      <c r="N66" s="69">
        <f>+N67+N92</f>
        <v>16499</v>
      </c>
      <c r="O66" s="69">
        <f>+K66+L66+M66+N66</f>
        <v>77828</v>
      </c>
      <c r="P66" s="69">
        <v>20884</v>
      </c>
      <c r="Q66" s="69">
        <f>+Q67+Q92</f>
        <v>17979</v>
      </c>
      <c r="R66" s="69">
        <v>20109</v>
      </c>
      <c r="S66" s="69">
        <f>+S67+S92</f>
        <v>20692</v>
      </c>
      <c r="T66" s="69">
        <f t="shared" ref="T66" si="15">SUM(P66:S66)</f>
        <v>79664</v>
      </c>
      <c r="U66" s="69"/>
      <c r="V66" s="69"/>
      <c r="W66" s="69"/>
      <c r="X66" s="69"/>
      <c r="Y66" s="10">
        <f t="shared" ref="Y66:Y71" si="16">SUM(U66:X66)</f>
        <v>0</v>
      </c>
      <c r="Z66" s="69">
        <f>SUM(Z67+Z92)</f>
        <v>157492</v>
      </c>
      <c r="AA66" s="42">
        <f t="shared" ref="AA66:AA86" si="17">SUM(Z66/J66)</f>
        <v>0.65875562062114401</v>
      </c>
      <c r="AB66" s="316">
        <v>63613403</v>
      </c>
      <c r="AC66" s="270" t="s">
        <v>448</v>
      </c>
      <c r="AD66" s="63">
        <f>SUM(AD67:AD69)</f>
        <v>17298</v>
      </c>
    </row>
    <row r="67" spans="2:30" ht="81" customHeight="1" x14ac:dyDescent="0.2">
      <c r="B67" s="49"/>
      <c r="C67" s="453"/>
      <c r="D67" s="453"/>
      <c r="E67" s="453"/>
      <c r="F67" s="66" t="s">
        <v>258</v>
      </c>
      <c r="G67" s="61"/>
      <c r="H67" s="8" t="s">
        <v>23</v>
      </c>
      <c r="I67" s="10">
        <v>192708</v>
      </c>
      <c r="J67" s="244">
        <v>206119</v>
      </c>
      <c r="K67" s="10">
        <v>18098</v>
      </c>
      <c r="L67" s="10">
        <v>16714</v>
      </c>
      <c r="M67" s="10">
        <f>+M68+M69+M70</f>
        <v>17849</v>
      </c>
      <c r="N67" s="10">
        <v>14249</v>
      </c>
      <c r="O67" s="69">
        <f t="shared" ref="O67:O86" si="18">SUM(K67:N67)</f>
        <v>66910</v>
      </c>
      <c r="P67" s="10">
        <v>18242</v>
      </c>
      <c r="Q67" s="10">
        <v>15482</v>
      </c>
      <c r="R67" s="10">
        <v>17622</v>
      </c>
      <c r="S67" s="10">
        <v>18231</v>
      </c>
      <c r="T67" s="69">
        <f t="shared" ref="T67:T86" si="19">SUM(P67+Q67+R67+S67)</f>
        <v>69577</v>
      </c>
      <c r="U67" s="10"/>
      <c r="V67" s="10"/>
      <c r="W67" s="10"/>
      <c r="X67" s="10"/>
      <c r="Y67" s="10">
        <f t="shared" si="16"/>
        <v>0</v>
      </c>
      <c r="Z67" s="69">
        <f>+Y67+T67+O67</f>
        <v>136487</v>
      </c>
      <c r="AA67" s="42">
        <f t="shared" si="17"/>
        <v>0.6621757334355397</v>
      </c>
      <c r="AB67" s="3">
        <v>45255403</v>
      </c>
      <c r="AC67" s="270" t="s">
        <v>430</v>
      </c>
      <c r="AD67" s="63">
        <f>SUM(AD68:AD70)</f>
        <v>12097</v>
      </c>
    </row>
    <row r="68" spans="2:30" ht="39" customHeight="1" outlineLevel="1" x14ac:dyDescent="0.2">
      <c r="B68" s="49"/>
      <c r="C68" s="453"/>
      <c r="D68" s="453"/>
      <c r="E68" s="453"/>
      <c r="F68" s="68"/>
      <c r="G68" s="148" t="s">
        <v>259</v>
      </c>
      <c r="H68" s="8" t="s">
        <v>23</v>
      </c>
      <c r="I68" s="10">
        <v>57813</v>
      </c>
      <c r="J68" s="244">
        <v>59048</v>
      </c>
      <c r="K68" s="10">
        <v>2391</v>
      </c>
      <c r="L68" s="10">
        <v>2241</v>
      </c>
      <c r="M68" s="10">
        <v>2481</v>
      </c>
      <c r="N68" s="10">
        <v>2097</v>
      </c>
      <c r="O68" s="69">
        <f t="shared" si="18"/>
        <v>9210</v>
      </c>
      <c r="P68" s="69">
        <v>2629</v>
      </c>
      <c r="Q68" s="69">
        <v>2204</v>
      </c>
      <c r="R68" s="69">
        <v>2274</v>
      </c>
      <c r="S68" s="69">
        <v>2886</v>
      </c>
      <c r="T68" s="69">
        <f t="shared" si="19"/>
        <v>9993</v>
      </c>
      <c r="U68" s="69"/>
      <c r="V68" s="69"/>
      <c r="W68" s="10"/>
      <c r="X68" s="10"/>
      <c r="Y68" s="69">
        <f t="shared" si="16"/>
        <v>0</v>
      </c>
      <c r="Z68" s="69">
        <f>+Y68+T68+O68</f>
        <v>19203</v>
      </c>
      <c r="AA68" s="42">
        <f t="shared" si="17"/>
        <v>0.32520999864517003</v>
      </c>
      <c r="AB68" s="67"/>
      <c r="AC68" s="67"/>
      <c r="AD68" s="63">
        <f>593+594</f>
        <v>1187</v>
      </c>
    </row>
    <row r="69" spans="2:30" ht="30.75" customHeight="1" outlineLevel="1" x14ac:dyDescent="0.2">
      <c r="B69" s="49"/>
      <c r="C69" s="453"/>
      <c r="D69" s="453"/>
      <c r="E69" s="453"/>
      <c r="F69" s="32"/>
      <c r="G69" s="148" t="s">
        <v>30</v>
      </c>
      <c r="H69" s="8" t="s">
        <v>23</v>
      </c>
      <c r="I69" s="10">
        <v>38541</v>
      </c>
      <c r="J69" s="244">
        <v>39541</v>
      </c>
      <c r="K69" s="10">
        <v>3102</v>
      </c>
      <c r="L69" s="10">
        <v>2714</v>
      </c>
      <c r="M69" s="10">
        <v>2878</v>
      </c>
      <c r="N69" s="10">
        <v>2221</v>
      </c>
      <c r="O69" s="69">
        <f t="shared" si="18"/>
        <v>10915</v>
      </c>
      <c r="P69" s="69">
        <v>2898</v>
      </c>
      <c r="Q69" s="69">
        <v>2371</v>
      </c>
      <c r="R69" s="69">
        <v>2845</v>
      </c>
      <c r="S69" s="69">
        <v>2711</v>
      </c>
      <c r="T69" s="69">
        <f t="shared" si="19"/>
        <v>10825</v>
      </c>
      <c r="U69" s="69"/>
      <c r="V69" s="69"/>
      <c r="W69" s="10"/>
      <c r="X69" s="69"/>
      <c r="Y69" s="69">
        <f t="shared" si="16"/>
        <v>0</v>
      </c>
      <c r="Z69" s="69">
        <f>+Y69+T69+O69</f>
        <v>21740</v>
      </c>
      <c r="AA69" s="42">
        <f t="shared" si="17"/>
        <v>0.54980905895146814</v>
      </c>
      <c r="AB69" s="6"/>
      <c r="AC69" s="67"/>
      <c r="AD69" s="63">
        <f>2007+2007</f>
        <v>4014</v>
      </c>
    </row>
    <row r="70" spans="2:30" ht="39.75" customHeight="1" outlineLevel="1" x14ac:dyDescent="0.2">
      <c r="B70" s="49"/>
      <c r="C70" s="450"/>
      <c r="D70" s="451"/>
      <c r="E70" s="452"/>
      <c r="F70" s="54"/>
      <c r="G70" s="148" t="s">
        <v>260</v>
      </c>
      <c r="H70" s="8" t="s">
        <v>23</v>
      </c>
      <c r="I70" s="10">
        <v>96354</v>
      </c>
      <c r="J70" s="244">
        <v>107530</v>
      </c>
      <c r="K70" s="10">
        <v>12605</v>
      </c>
      <c r="L70" s="10">
        <v>11759</v>
      </c>
      <c r="M70" s="10">
        <v>12490</v>
      </c>
      <c r="N70" s="10">
        <v>9931</v>
      </c>
      <c r="O70" s="69">
        <f t="shared" si="18"/>
        <v>46785</v>
      </c>
      <c r="P70" s="69">
        <v>12715</v>
      </c>
      <c r="Q70" s="69">
        <v>10907</v>
      </c>
      <c r="R70" s="69">
        <v>12503</v>
      </c>
      <c r="S70" s="69">
        <v>12634</v>
      </c>
      <c r="T70" s="69">
        <f t="shared" si="19"/>
        <v>48759</v>
      </c>
      <c r="U70" s="69"/>
      <c r="V70" s="69"/>
      <c r="W70" s="10"/>
      <c r="X70" s="69"/>
      <c r="Y70" s="69">
        <f t="shared" si="16"/>
        <v>0</v>
      </c>
      <c r="Z70" s="69">
        <f>+Y70+T70+O70</f>
        <v>95544</v>
      </c>
      <c r="AA70" s="42">
        <f t="shared" si="17"/>
        <v>0.88853343253045658</v>
      </c>
      <c r="AB70" s="12"/>
      <c r="AC70" s="12"/>
      <c r="AD70" s="63">
        <f>3448+3448</f>
        <v>6896</v>
      </c>
    </row>
    <row r="71" spans="2:30" ht="25.5" x14ac:dyDescent="0.2">
      <c r="B71" s="49"/>
      <c r="C71" s="450"/>
      <c r="D71" s="451"/>
      <c r="E71" s="452"/>
      <c r="F71" s="54"/>
      <c r="G71" s="16" t="s">
        <v>31</v>
      </c>
      <c r="H71" s="8" t="s">
        <v>29</v>
      </c>
      <c r="I71" s="67">
        <v>6</v>
      </c>
      <c r="J71" s="68">
        <v>6</v>
      </c>
      <c r="K71" s="67">
        <v>2</v>
      </c>
      <c r="L71" s="67">
        <v>1</v>
      </c>
      <c r="M71" s="67">
        <v>2</v>
      </c>
      <c r="N71" s="67">
        <v>2</v>
      </c>
      <c r="O71" s="68">
        <f t="shared" si="18"/>
        <v>7</v>
      </c>
      <c r="P71" s="68">
        <v>2</v>
      </c>
      <c r="Q71" s="113" t="s">
        <v>211</v>
      </c>
      <c r="R71" s="109" t="s">
        <v>211</v>
      </c>
      <c r="S71" s="109" t="s">
        <v>351</v>
      </c>
      <c r="T71" s="68">
        <f t="shared" si="19"/>
        <v>4</v>
      </c>
      <c r="U71" s="109"/>
      <c r="V71" s="68"/>
      <c r="W71" s="67"/>
      <c r="X71" s="68"/>
      <c r="Y71" s="68">
        <f t="shared" si="16"/>
        <v>0</v>
      </c>
      <c r="Z71" s="68">
        <v>6</v>
      </c>
      <c r="AA71" s="273">
        <f t="shared" si="17"/>
        <v>1</v>
      </c>
      <c r="AB71" s="12"/>
      <c r="AC71" s="12"/>
    </row>
    <row r="72" spans="2:30" ht="25.5" x14ac:dyDescent="0.2">
      <c r="B72" s="49"/>
      <c r="C72" s="174"/>
      <c r="D72" s="175"/>
      <c r="E72" s="176"/>
      <c r="F72" s="54"/>
      <c r="G72" s="16" t="s">
        <v>32</v>
      </c>
      <c r="H72" s="8" t="s">
        <v>29</v>
      </c>
      <c r="I72" s="67">
        <v>6</v>
      </c>
      <c r="J72" s="68">
        <v>6</v>
      </c>
      <c r="K72" s="67">
        <v>4</v>
      </c>
      <c r="L72" s="109" t="s">
        <v>211</v>
      </c>
      <c r="M72" s="109" t="s">
        <v>211</v>
      </c>
      <c r="N72" s="109" t="s">
        <v>211</v>
      </c>
      <c r="O72" s="68">
        <f t="shared" si="18"/>
        <v>4</v>
      </c>
      <c r="P72" s="68" t="s">
        <v>211</v>
      </c>
      <c r="Q72" s="113" t="s">
        <v>211</v>
      </c>
      <c r="R72" s="109" t="s">
        <v>211</v>
      </c>
      <c r="S72" s="109" t="s">
        <v>211</v>
      </c>
      <c r="T72" s="109" t="s">
        <v>211</v>
      </c>
      <c r="U72" s="109"/>
      <c r="V72" s="68"/>
      <c r="W72" s="67"/>
      <c r="X72" s="68"/>
      <c r="Y72" s="68">
        <f t="shared" ref="Y72:Y86" si="20">SUM(U72:X72)</f>
        <v>0</v>
      </c>
      <c r="Z72" s="68">
        <f t="shared" ref="Z72:Z86" si="21">+Y72+T72+O72</f>
        <v>4</v>
      </c>
      <c r="AA72" s="70">
        <f t="shared" si="17"/>
        <v>0.66666666666666663</v>
      </c>
      <c r="AB72" s="12"/>
      <c r="AC72" s="12"/>
    </row>
    <row r="73" spans="2:30" ht="25.5" x14ac:dyDescent="0.2">
      <c r="B73" s="49"/>
      <c r="C73" s="453"/>
      <c r="D73" s="453"/>
      <c r="E73" s="453"/>
      <c r="F73" s="32"/>
      <c r="G73" s="16" t="s">
        <v>33</v>
      </c>
      <c r="H73" s="8" t="s">
        <v>29</v>
      </c>
      <c r="I73" s="67">
        <v>6564</v>
      </c>
      <c r="J73" s="68">
        <v>6564</v>
      </c>
      <c r="K73" s="67">
        <v>645</v>
      </c>
      <c r="L73" s="67">
        <v>603</v>
      </c>
      <c r="M73" s="109" t="s">
        <v>371</v>
      </c>
      <c r="N73" s="67">
        <v>619</v>
      </c>
      <c r="O73" s="68">
        <f t="shared" si="18"/>
        <v>1867</v>
      </c>
      <c r="P73" s="109">
        <v>820</v>
      </c>
      <c r="Q73" s="68">
        <v>706</v>
      </c>
      <c r="R73" s="109">
        <v>800</v>
      </c>
      <c r="S73" s="68">
        <v>757</v>
      </c>
      <c r="T73" s="68">
        <f t="shared" si="19"/>
        <v>3083</v>
      </c>
      <c r="U73" s="109"/>
      <c r="V73" s="68"/>
      <c r="W73" s="109"/>
      <c r="X73" s="109"/>
      <c r="Y73" s="68">
        <f t="shared" si="20"/>
        <v>0</v>
      </c>
      <c r="Z73" s="68">
        <f t="shared" si="21"/>
        <v>4950</v>
      </c>
      <c r="AA73" s="70">
        <f t="shared" si="17"/>
        <v>0.75411334552102371</v>
      </c>
      <c r="AB73" s="6"/>
      <c r="AC73" s="6"/>
    </row>
    <row r="74" spans="2:30" ht="15" x14ac:dyDescent="0.2">
      <c r="B74" s="49"/>
      <c r="C74" s="453"/>
      <c r="D74" s="453"/>
      <c r="E74" s="453"/>
      <c r="F74" s="68"/>
      <c r="G74" s="16" t="s">
        <v>34</v>
      </c>
      <c r="H74" s="8" t="s">
        <v>29</v>
      </c>
      <c r="I74" s="67">
        <v>3900</v>
      </c>
      <c r="J74" s="68">
        <v>3900</v>
      </c>
      <c r="K74" s="67">
        <v>340</v>
      </c>
      <c r="L74" s="67">
        <v>326</v>
      </c>
      <c r="M74" s="67">
        <v>358</v>
      </c>
      <c r="N74" s="67">
        <v>369</v>
      </c>
      <c r="O74" s="68">
        <f t="shared" si="18"/>
        <v>1393</v>
      </c>
      <c r="P74" s="68">
        <v>454</v>
      </c>
      <c r="Q74" s="68">
        <v>408</v>
      </c>
      <c r="R74" s="68">
        <v>461</v>
      </c>
      <c r="S74" s="68">
        <v>416</v>
      </c>
      <c r="T74" s="68">
        <f t="shared" si="19"/>
        <v>1739</v>
      </c>
      <c r="U74" s="68"/>
      <c r="V74" s="68"/>
      <c r="W74" s="67"/>
      <c r="X74" s="68"/>
      <c r="Y74" s="68">
        <f t="shared" si="20"/>
        <v>0</v>
      </c>
      <c r="Z74" s="68">
        <f t="shared" si="21"/>
        <v>3132</v>
      </c>
      <c r="AA74" s="70">
        <f t="shared" si="17"/>
        <v>0.80307692307692302</v>
      </c>
      <c r="AB74" s="18"/>
      <c r="AC74" s="18"/>
    </row>
    <row r="75" spans="2:30" ht="25.5" x14ac:dyDescent="0.2">
      <c r="B75" s="49"/>
      <c r="C75" s="453"/>
      <c r="D75" s="453"/>
      <c r="E75" s="453"/>
      <c r="F75" s="8"/>
      <c r="G75" s="16" t="s">
        <v>35</v>
      </c>
      <c r="H75" s="8" t="s">
        <v>29</v>
      </c>
      <c r="I75" s="67">
        <v>9312</v>
      </c>
      <c r="J75" s="68">
        <v>9312</v>
      </c>
      <c r="K75" s="67">
        <v>807</v>
      </c>
      <c r="L75" s="67">
        <v>712</v>
      </c>
      <c r="M75" s="67">
        <v>835</v>
      </c>
      <c r="N75" s="67">
        <v>726</v>
      </c>
      <c r="O75" s="68">
        <f t="shared" si="18"/>
        <v>3080</v>
      </c>
      <c r="P75" s="68">
        <v>867</v>
      </c>
      <c r="Q75" s="68">
        <v>784</v>
      </c>
      <c r="R75" s="68">
        <v>839</v>
      </c>
      <c r="S75" s="68">
        <v>792</v>
      </c>
      <c r="T75" s="68">
        <f t="shared" si="19"/>
        <v>3282</v>
      </c>
      <c r="U75" s="68"/>
      <c r="V75" s="68"/>
      <c r="W75" s="67"/>
      <c r="X75" s="68"/>
      <c r="Y75" s="68">
        <f t="shared" si="20"/>
        <v>0</v>
      </c>
      <c r="Z75" s="68">
        <f t="shared" si="21"/>
        <v>6362</v>
      </c>
      <c r="AA75" s="70">
        <f t="shared" si="17"/>
        <v>0.68320446735395191</v>
      </c>
      <c r="AB75" s="18"/>
      <c r="AC75" s="18"/>
    </row>
    <row r="76" spans="2:30" ht="25.5" x14ac:dyDescent="0.2">
      <c r="B76" s="49"/>
      <c r="C76" s="453"/>
      <c r="D76" s="453"/>
      <c r="E76" s="453"/>
      <c r="F76" s="8"/>
      <c r="G76" s="103" t="s">
        <v>36</v>
      </c>
      <c r="H76" s="8" t="s">
        <v>29</v>
      </c>
      <c r="I76" s="67">
        <v>16164</v>
      </c>
      <c r="J76" s="68">
        <v>16164</v>
      </c>
      <c r="K76" s="67">
        <v>1498</v>
      </c>
      <c r="L76" s="67">
        <v>1472</v>
      </c>
      <c r="M76" s="67">
        <v>1599</v>
      </c>
      <c r="N76" s="67">
        <v>1321</v>
      </c>
      <c r="O76" s="68">
        <f t="shared" si="18"/>
        <v>5890</v>
      </c>
      <c r="P76" s="68">
        <v>1562</v>
      </c>
      <c r="Q76" s="68">
        <v>1426</v>
      </c>
      <c r="R76" s="68">
        <v>1612</v>
      </c>
      <c r="S76" s="68">
        <v>1530</v>
      </c>
      <c r="T76" s="68">
        <f t="shared" si="19"/>
        <v>6130</v>
      </c>
      <c r="U76" s="68"/>
      <c r="V76" s="68"/>
      <c r="W76" s="67"/>
      <c r="X76" s="68"/>
      <c r="Y76" s="68">
        <f t="shared" si="20"/>
        <v>0</v>
      </c>
      <c r="Z76" s="68">
        <f t="shared" si="21"/>
        <v>12020</v>
      </c>
      <c r="AA76" s="70">
        <f t="shared" si="17"/>
        <v>0.74362781489730267</v>
      </c>
      <c r="AB76" s="18"/>
      <c r="AC76" s="18"/>
    </row>
    <row r="77" spans="2:30" ht="25.5" x14ac:dyDescent="0.2">
      <c r="B77" s="49"/>
      <c r="C77" s="453"/>
      <c r="D77" s="453"/>
      <c r="E77" s="453"/>
      <c r="F77" s="8"/>
      <c r="G77" s="103" t="s">
        <v>37</v>
      </c>
      <c r="H77" s="8" t="s">
        <v>29</v>
      </c>
      <c r="I77" s="67">
        <v>36060</v>
      </c>
      <c r="J77" s="68">
        <v>36060</v>
      </c>
      <c r="K77" s="67">
        <v>3730</v>
      </c>
      <c r="L77" s="67">
        <v>3616</v>
      </c>
      <c r="M77" s="67">
        <v>4133</v>
      </c>
      <c r="N77" s="67">
        <v>3367</v>
      </c>
      <c r="O77" s="68">
        <f t="shared" si="18"/>
        <v>14846</v>
      </c>
      <c r="P77" s="68">
        <v>4447</v>
      </c>
      <c r="Q77" s="68">
        <v>3950</v>
      </c>
      <c r="R77" s="68">
        <v>4287</v>
      </c>
      <c r="S77" s="68">
        <v>4255</v>
      </c>
      <c r="T77" s="68">
        <f t="shared" si="19"/>
        <v>16939</v>
      </c>
      <c r="U77" s="68"/>
      <c r="V77" s="68"/>
      <c r="W77" s="67"/>
      <c r="X77" s="68"/>
      <c r="Y77" s="68">
        <f t="shared" si="20"/>
        <v>0</v>
      </c>
      <c r="Z77" s="68">
        <f t="shared" si="21"/>
        <v>31785</v>
      </c>
      <c r="AA77" s="70">
        <f t="shared" si="17"/>
        <v>0.88144758735440931</v>
      </c>
      <c r="AB77" s="18"/>
      <c r="AC77" s="18"/>
    </row>
    <row r="78" spans="2:30" ht="25.5" x14ac:dyDescent="0.2">
      <c r="B78" s="49"/>
      <c r="C78" s="453"/>
      <c r="D78" s="453"/>
      <c r="E78" s="453"/>
      <c r="F78" s="8"/>
      <c r="G78" s="103" t="s">
        <v>38</v>
      </c>
      <c r="H78" s="8" t="s">
        <v>29</v>
      </c>
      <c r="I78" s="67">
        <v>6444</v>
      </c>
      <c r="J78" s="68">
        <v>6444</v>
      </c>
      <c r="K78" s="67">
        <v>513</v>
      </c>
      <c r="L78" s="67">
        <v>557</v>
      </c>
      <c r="M78" s="67">
        <v>434</v>
      </c>
      <c r="N78" s="67">
        <v>318</v>
      </c>
      <c r="O78" s="68">
        <f t="shared" si="18"/>
        <v>1822</v>
      </c>
      <c r="P78" s="68">
        <v>454</v>
      </c>
      <c r="Q78" s="68">
        <v>469</v>
      </c>
      <c r="R78" s="68">
        <v>447</v>
      </c>
      <c r="S78" s="68">
        <v>472</v>
      </c>
      <c r="T78" s="68">
        <f t="shared" si="19"/>
        <v>1842</v>
      </c>
      <c r="U78" s="68"/>
      <c r="V78" s="68"/>
      <c r="W78" s="67"/>
      <c r="X78" s="68"/>
      <c r="Y78" s="68">
        <f t="shared" si="20"/>
        <v>0</v>
      </c>
      <c r="Z78" s="68">
        <f t="shared" si="21"/>
        <v>3664</v>
      </c>
      <c r="AA78" s="70">
        <f t="shared" si="17"/>
        <v>0.56859093730602106</v>
      </c>
      <c r="AB78" s="18"/>
      <c r="AC78" s="18"/>
    </row>
    <row r="79" spans="2:30" ht="15" x14ac:dyDescent="0.2">
      <c r="B79" s="49"/>
      <c r="C79" s="450"/>
      <c r="D79" s="451"/>
      <c r="E79" s="452"/>
      <c r="F79" s="8"/>
      <c r="G79" s="103" t="s">
        <v>39</v>
      </c>
      <c r="H79" s="8" t="s">
        <v>29</v>
      </c>
      <c r="I79" s="67">
        <v>3936</v>
      </c>
      <c r="J79" s="68">
        <v>3936</v>
      </c>
      <c r="K79" s="67">
        <v>423</v>
      </c>
      <c r="L79" s="67">
        <v>414</v>
      </c>
      <c r="M79" s="67">
        <v>533</v>
      </c>
      <c r="N79" s="67">
        <v>455</v>
      </c>
      <c r="O79" s="68">
        <f t="shared" si="18"/>
        <v>1825</v>
      </c>
      <c r="P79" s="68" t="s">
        <v>211</v>
      </c>
      <c r="Q79" s="68">
        <v>452</v>
      </c>
      <c r="R79" s="68">
        <v>458</v>
      </c>
      <c r="S79" s="68">
        <v>403</v>
      </c>
      <c r="T79" s="68">
        <f t="shared" si="19"/>
        <v>1313</v>
      </c>
      <c r="U79" s="68"/>
      <c r="V79" s="68"/>
      <c r="W79" s="67"/>
      <c r="X79" s="68"/>
      <c r="Y79" s="68">
        <f t="shared" si="20"/>
        <v>0</v>
      </c>
      <c r="Z79" s="68">
        <f t="shared" si="21"/>
        <v>3138</v>
      </c>
      <c r="AA79" s="70">
        <f t="shared" si="17"/>
        <v>0.7972560975609756</v>
      </c>
      <c r="AB79" s="18"/>
      <c r="AC79" s="18"/>
    </row>
    <row r="80" spans="2:30" ht="25.5" x14ac:dyDescent="0.2">
      <c r="B80" s="49"/>
      <c r="C80" s="450"/>
      <c r="D80" s="451"/>
      <c r="E80" s="452"/>
      <c r="F80" s="8"/>
      <c r="G80" s="103" t="s">
        <v>40</v>
      </c>
      <c r="H80" s="8" t="s">
        <v>29</v>
      </c>
      <c r="I80" s="67">
        <v>24984</v>
      </c>
      <c r="J80" s="68">
        <v>24984</v>
      </c>
      <c r="K80" s="67">
        <v>2588</v>
      </c>
      <c r="L80" s="67">
        <v>2548</v>
      </c>
      <c r="M80" s="67">
        <v>2975</v>
      </c>
      <c r="N80" s="67">
        <v>2418</v>
      </c>
      <c r="O80" s="68">
        <f t="shared" si="18"/>
        <v>10529</v>
      </c>
      <c r="P80" s="68">
        <v>3203</v>
      </c>
      <c r="Q80" s="68">
        <v>2946</v>
      </c>
      <c r="R80" s="68">
        <v>3266</v>
      </c>
      <c r="S80" s="68">
        <v>2912</v>
      </c>
      <c r="T80" s="68">
        <f t="shared" si="19"/>
        <v>12327</v>
      </c>
      <c r="U80" s="68"/>
      <c r="V80" s="68"/>
      <c r="W80" s="67"/>
      <c r="X80" s="68"/>
      <c r="Y80" s="68">
        <f t="shared" si="20"/>
        <v>0</v>
      </c>
      <c r="Z80" s="68">
        <f t="shared" si="21"/>
        <v>22856</v>
      </c>
      <c r="AA80" s="70">
        <f t="shared" si="17"/>
        <v>0.91482548831251997</v>
      </c>
      <c r="AB80" s="18"/>
      <c r="AC80" s="18"/>
    </row>
    <row r="81" spans="2:30" ht="15" x14ac:dyDescent="0.2">
      <c r="B81" s="49"/>
      <c r="C81" s="174"/>
      <c r="D81" s="175"/>
      <c r="E81" s="176"/>
      <c r="F81" s="8"/>
      <c r="G81" s="103" t="s">
        <v>41</v>
      </c>
      <c r="H81" s="8" t="s">
        <v>29</v>
      </c>
      <c r="I81" s="67">
        <v>1872</v>
      </c>
      <c r="J81" s="68">
        <v>1872</v>
      </c>
      <c r="K81" s="67">
        <v>92</v>
      </c>
      <c r="L81" s="67">
        <v>96</v>
      </c>
      <c r="M81" s="67">
        <v>90</v>
      </c>
      <c r="N81" s="67">
        <v>99</v>
      </c>
      <c r="O81" s="68">
        <f t="shared" si="18"/>
        <v>377</v>
      </c>
      <c r="P81" s="68">
        <v>151</v>
      </c>
      <c r="Q81" s="68">
        <v>100</v>
      </c>
      <c r="R81" s="68">
        <v>149</v>
      </c>
      <c r="S81" s="68">
        <v>156</v>
      </c>
      <c r="T81" s="68">
        <f t="shared" si="19"/>
        <v>556</v>
      </c>
      <c r="U81" s="68"/>
      <c r="V81" s="68"/>
      <c r="W81" s="67"/>
      <c r="X81" s="68"/>
      <c r="Y81" s="68">
        <f t="shared" si="20"/>
        <v>0</v>
      </c>
      <c r="Z81" s="68">
        <f t="shared" si="21"/>
        <v>933</v>
      </c>
      <c r="AA81" s="70">
        <f t="shared" si="17"/>
        <v>0.4983974358974359</v>
      </c>
      <c r="AB81" s="18"/>
      <c r="AC81" s="18"/>
    </row>
    <row r="82" spans="2:30" ht="15" x14ac:dyDescent="0.2">
      <c r="B82" s="49"/>
      <c r="C82" s="450"/>
      <c r="D82" s="451"/>
      <c r="E82" s="452"/>
      <c r="F82" s="8"/>
      <c r="G82" s="103" t="s">
        <v>42</v>
      </c>
      <c r="H82" s="8" t="s">
        <v>29</v>
      </c>
      <c r="I82" s="67">
        <v>252</v>
      </c>
      <c r="J82" s="68">
        <v>252</v>
      </c>
      <c r="K82" s="67">
        <v>12</v>
      </c>
      <c r="L82" s="67">
        <v>3</v>
      </c>
      <c r="M82" s="67">
        <v>17</v>
      </c>
      <c r="N82" s="67">
        <v>6</v>
      </c>
      <c r="O82" s="68">
        <f t="shared" si="18"/>
        <v>38</v>
      </c>
      <c r="P82" s="68">
        <v>13</v>
      </c>
      <c r="Q82" s="68">
        <v>14</v>
      </c>
      <c r="R82" s="68">
        <v>34</v>
      </c>
      <c r="S82" s="68">
        <v>20</v>
      </c>
      <c r="T82" s="68">
        <f t="shared" si="19"/>
        <v>81</v>
      </c>
      <c r="U82" s="68"/>
      <c r="V82" s="68"/>
      <c r="W82" s="67"/>
      <c r="X82" s="68"/>
      <c r="Y82" s="68">
        <f t="shared" si="20"/>
        <v>0</v>
      </c>
      <c r="Z82" s="68">
        <f t="shared" si="21"/>
        <v>119</v>
      </c>
      <c r="AA82" s="70">
        <f t="shared" si="17"/>
        <v>0.47222222222222221</v>
      </c>
      <c r="AB82" s="18"/>
      <c r="AC82" s="18"/>
    </row>
    <row r="83" spans="2:30" ht="15" x14ac:dyDescent="0.2">
      <c r="B83" s="49"/>
      <c r="C83" s="450"/>
      <c r="D83" s="451"/>
      <c r="E83" s="452"/>
      <c r="F83" s="8"/>
      <c r="G83" s="149" t="s">
        <v>43</v>
      </c>
      <c r="H83" s="8" t="s">
        <v>29</v>
      </c>
      <c r="I83" s="67">
        <v>113760</v>
      </c>
      <c r="J83" s="68">
        <v>113760</v>
      </c>
      <c r="K83" s="67">
        <v>8880</v>
      </c>
      <c r="L83" s="67">
        <v>7601</v>
      </c>
      <c r="M83" s="67">
        <v>8023</v>
      </c>
      <c r="N83" s="67">
        <v>6888</v>
      </c>
      <c r="O83" s="68">
        <f t="shared" si="18"/>
        <v>31392</v>
      </c>
      <c r="P83" s="68">
        <v>8557</v>
      </c>
      <c r="Q83" s="68">
        <v>7999</v>
      </c>
      <c r="R83" s="68">
        <v>9683</v>
      </c>
      <c r="S83" s="68">
        <v>8815</v>
      </c>
      <c r="T83" s="68">
        <f t="shared" si="19"/>
        <v>35054</v>
      </c>
      <c r="U83" s="68"/>
      <c r="V83" s="68"/>
      <c r="W83" s="67"/>
      <c r="X83" s="68"/>
      <c r="Y83" s="68">
        <f t="shared" si="20"/>
        <v>0</v>
      </c>
      <c r="Z83" s="68">
        <f t="shared" si="21"/>
        <v>66446</v>
      </c>
      <c r="AA83" s="70">
        <f t="shared" si="17"/>
        <v>0.58408931082981719</v>
      </c>
      <c r="AB83" s="18"/>
      <c r="AC83" s="18"/>
    </row>
    <row r="84" spans="2:30" ht="15" x14ac:dyDescent="0.2">
      <c r="B84" s="49"/>
      <c r="C84" s="450"/>
      <c r="D84" s="451"/>
      <c r="E84" s="452"/>
      <c r="F84" s="8"/>
      <c r="G84" s="150" t="s">
        <v>44</v>
      </c>
      <c r="H84" s="78" t="s">
        <v>25</v>
      </c>
      <c r="I84" s="67">
        <v>35592</v>
      </c>
      <c r="J84" s="68">
        <v>35592</v>
      </c>
      <c r="K84" s="67">
        <v>3299</v>
      </c>
      <c r="L84" s="67">
        <v>3167</v>
      </c>
      <c r="M84" s="67">
        <v>3659</v>
      </c>
      <c r="N84" s="67">
        <v>2878</v>
      </c>
      <c r="O84" s="68">
        <f t="shared" si="18"/>
        <v>13003</v>
      </c>
      <c r="P84" s="68">
        <v>3856</v>
      </c>
      <c r="Q84" s="68">
        <v>3135</v>
      </c>
      <c r="R84" s="68">
        <v>3327</v>
      </c>
      <c r="S84" s="68">
        <v>3557</v>
      </c>
      <c r="T84" s="68">
        <f t="shared" si="19"/>
        <v>13875</v>
      </c>
      <c r="U84" s="68"/>
      <c r="V84" s="68"/>
      <c r="W84" s="67"/>
      <c r="X84" s="68"/>
      <c r="Y84" s="68">
        <f t="shared" si="20"/>
        <v>0</v>
      </c>
      <c r="Z84" s="68">
        <f t="shared" si="21"/>
        <v>26878</v>
      </c>
      <c r="AA84" s="70">
        <f t="shared" si="17"/>
        <v>0.75516970105641712</v>
      </c>
      <c r="AB84" s="18"/>
      <c r="AC84" s="18"/>
    </row>
    <row r="85" spans="2:30" ht="25.5" x14ac:dyDescent="0.2">
      <c r="B85" s="49"/>
      <c r="C85" s="450"/>
      <c r="D85" s="451"/>
      <c r="E85" s="452"/>
      <c r="F85" s="8"/>
      <c r="G85" s="151" t="s">
        <v>45</v>
      </c>
      <c r="H85" s="8" t="s">
        <v>29</v>
      </c>
      <c r="I85" s="67">
        <v>48</v>
      </c>
      <c r="J85" s="68">
        <v>48</v>
      </c>
      <c r="K85" s="67">
        <v>7</v>
      </c>
      <c r="L85" s="67">
        <v>4</v>
      </c>
      <c r="M85" s="67">
        <v>5</v>
      </c>
      <c r="N85" s="67">
        <v>11</v>
      </c>
      <c r="O85" s="68">
        <f t="shared" si="18"/>
        <v>27</v>
      </c>
      <c r="P85" s="68">
        <v>4</v>
      </c>
      <c r="Q85" s="68">
        <v>8</v>
      </c>
      <c r="R85" s="68">
        <v>1</v>
      </c>
      <c r="S85" s="68">
        <v>6</v>
      </c>
      <c r="T85" s="68">
        <f t="shared" si="19"/>
        <v>19</v>
      </c>
      <c r="U85" s="68"/>
      <c r="V85" s="68"/>
      <c r="W85" s="67"/>
      <c r="X85" s="68"/>
      <c r="Y85" s="68">
        <f t="shared" si="20"/>
        <v>0</v>
      </c>
      <c r="Z85" s="68">
        <f t="shared" si="21"/>
        <v>46</v>
      </c>
      <c r="AA85" s="70">
        <f t="shared" si="17"/>
        <v>0.95833333333333337</v>
      </c>
      <c r="AB85" s="18"/>
      <c r="AC85" s="18"/>
    </row>
    <row r="86" spans="2:30" ht="38.25" x14ac:dyDescent="0.2">
      <c r="B86" s="49"/>
      <c r="C86" s="450"/>
      <c r="D86" s="451"/>
      <c r="E86" s="452"/>
      <c r="F86" s="8"/>
      <c r="G86" s="152" t="s">
        <v>261</v>
      </c>
      <c r="H86" s="78" t="s">
        <v>25</v>
      </c>
      <c r="I86" s="67">
        <v>34740</v>
      </c>
      <c r="J86" s="68">
        <v>34740</v>
      </c>
      <c r="K86" s="67">
        <v>3385</v>
      </c>
      <c r="L86" s="67">
        <v>3157</v>
      </c>
      <c r="M86" s="67">
        <v>3659</v>
      </c>
      <c r="N86" s="67">
        <v>2870</v>
      </c>
      <c r="O86" s="68">
        <f t="shared" si="18"/>
        <v>13071</v>
      </c>
      <c r="P86" s="68">
        <v>3856</v>
      </c>
      <c r="Q86" s="68">
        <v>3126</v>
      </c>
      <c r="R86" s="68">
        <v>3325</v>
      </c>
      <c r="S86" s="68">
        <v>3549</v>
      </c>
      <c r="T86" s="68">
        <f t="shared" si="19"/>
        <v>13856</v>
      </c>
      <c r="U86" s="68"/>
      <c r="V86" s="68"/>
      <c r="W86" s="67"/>
      <c r="X86" s="68"/>
      <c r="Y86" s="68">
        <f t="shared" si="20"/>
        <v>0</v>
      </c>
      <c r="Z86" s="68">
        <f t="shared" si="21"/>
        <v>26927</v>
      </c>
      <c r="AA86" s="70">
        <f t="shared" si="17"/>
        <v>0.77510074841681065</v>
      </c>
      <c r="AB86" s="18"/>
      <c r="AC86" s="18"/>
    </row>
    <row r="87" spans="2:30" s="188" customFormat="1" ht="15" customHeight="1" x14ac:dyDescent="0.2">
      <c r="B87" s="351" t="s">
        <v>109</v>
      </c>
      <c r="C87" s="352"/>
      <c r="D87" s="352"/>
      <c r="E87" s="352"/>
      <c r="F87" s="352"/>
      <c r="G87" s="352"/>
      <c r="H87" s="352"/>
      <c r="I87" s="352"/>
      <c r="J87" s="352"/>
      <c r="K87" s="352"/>
      <c r="L87" s="352"/>
      <c r="M87" s="352"/>
      <c r="N87" s="352"/>
      <c r="O87" s="352"/>
      <c r="P87" s="352"/>
      <c r="Q87" s="352"/>
      <c r="R87" s="352"/>
      <c r="S87" s="352"/>
      <c r="T87" s="352"/>
      <c r="U87" s="352"/>
      <c r="V87" s="352"/>
      <c r="W87" s="352"/>
      <c r="X87" s="352"/>
      <c r="Y87" s="352"/>
      <c r="Z87" s="352"/>
      <c r="AA87" s="352"/>
      <c r="AB87" s="352"/>
      <c r="AC87" s="225"/>
    </row>
    <row r="88" spans="2:30" s="188" customFormat="1" ht="42" customHeight="1" x14ac:dyDescent="0.2">
      <c r="B88" s="469" t="s">
        <v>102</v>
      </c>
      <c r="C88" s="469"/>
      <c r="D88" s="469"/>
      <c r="E88" s="469"/>
      <c r="F88" s="479" t="s">
        <v>185</v>
      </c>
      <c r="G88" s="480"/>
      <c r="H88" s="480"/>
      <c r="I88" s="480"/>
      <c r="J88" s="480"/>
      <c r="K88" s="480"/>
      <c r="L88" s="480"/>
      <c r="M88" s="480"/>
      <c r="N88" s="480"/>
      <c r="O88" s="480"/>
      <c r="P88" s="480"/>
      <c r="Q88" s="480"/>
      <c r="R88" s="480"/>
      <c r="S88" s="480"/>
      <c r="T88" s="480"/>
      <c r="U88" s="480"/>
      <c r="V88" s="480"/>
      <c r="W88" s="480"/>
      <c r="X88" s="480"/>
      <c r="Y88" s="480"/>
      <c r="Z88" s="480"/>
      <c r="AA88" s="480"/>
      <c r="AB88" s="480"/>
      <c r="AC88" s="481"/>
    </row>
    <row r="89" spans="2:30" s="188" customFormat="1" ht="15.75" customHeight="1" x14ac:dyDescent="0.2">
      <c r="B89" s="469" t="s">
        <v>103</v>
      </c>
      <c r="C89" s="469"/>
      <c r="D89" s="469"/>
      <c r="E89" s="469"/>
      <c r="F89" s="476" t="s">
        <v>108</v>
      </c>
      <c r="G89" s="477"/>
      <c r="H89" s="477"/>
      <c r="I89" s="477"/>
      <c r="J89" s="477"/>
      <c r="K89" s="477"/>
      <c r="L89" s="477"/>
      <c r="M89" s="477"/>
      <c r="N89" s="477"/>
      <c r="O89" s="477"/>
      <c r="P89" s="477"/>
      <c r="Q89" s="477"/>
      <c r="R89" s="477"/>
      <c r="S89" s="477"/>
      <c r="T89" s="477"/>
      <c r="U89" s="477"/>
      <c r="V89" s="477"/>
      <c r="W89" s="477"/>
      <c r="X89" s="477"/>
      <c r="Y89" s="477"/>
      <c r="Z89" s="477"/>
      <c r="AA89" s="477"/>
      <c r="AB89" s="477"/>
      <c r="AC89" s="478"/>
    </row>
    <row r="90" spans="2:30" ht="21" customHeight="1" x14ac:dyDescent="0.2">
      <c r="B90" s="90"/>
      <c r="C90" s="345" t="s">
        <v>235</v>
      </c>
      <c r="D90" s="346"/>
      <c r="E90" s="346"/>
      <c r="F90" s="346"/>
      <c r="G90" s="346"/>
      <c r="H90" s="346"/>
      <c r="I90" s="346"/>
      <c r="J90" s="346"/>
      <c r="K90" s="346"/>
      <c r="L90" s="346"/>
      <c r="M90" s="346"/>
      <c r="N90" s="346"/>
      <c r="O90" s="346"/>
      <c r="P90" s="346"/>
      <c r="Q90" s="346"/>
      <c r="R90" s="346"/>
      <c r="S90" s="346"/>
      <c r="T90" s="346"/>
      <c r="U90" s="346"/>
      <c r="V90" s="346"/>
      <c r="W90" s="346"/>
      <c r="X90" s="346"/>
      <c r="Y90" s="346"/>
      <c r="Z90" s="346"/>
      <c r="AA90" s="346"/>
      <c r="AB90" s="346"/>
      <c r="AC90" s="347"/>
    </row>
    <row r="91" spans="2:30" ht="53.25" customHeight="1" x14ac:dyDescent="0.2">
      <c r="B91" s="191" t="s">
        <v>139</v>
      </c>
      <c r="C91" s="379" t="s">
        <v>94</v>
      </c>
      <c r="D91" s="380"/>
      <c r="E91" s="381"/>
      <c r="F91" s="192" t="s">
        <v>95</v>
      </c>
      <c r="G91" s="206" t="s">
        <v>4</v>
      </c>
      <c r="H91" s="193" t="s">
        <v>3</v>
      </c>
      <c r="I91" s="195" t="s">
        <v>96</v>
      </c>
      <c r="J91" s="195" t="s">
        <v>150</v>
      </c>
      <c r="K91" s="1" t="s">
        <v>5</v>
      </c>
      <c r="L91" s="1" t="s">
        <v>6</v>
      </c>
      <c r="M91" s="1" t="s">
        <v>7</v>
      </c>
      <c r="N91" s="1" t="s">
        <v>8</v>
      </c>
      <c r="O91" s="35" t="s">
        <v>157</v>
      </c>
      <c r="P91" s="2" t="s">
        <v>9</v>
      </c>
      <c r="Q91" s="2" t="s">
        <v>10</v>
      </c>
      <c r="R91" s="2" t="s">
        <v>11</v>
      </c>
      <c r="S91" s="2" t="s">
        <v>12</v>
      </c>
      <c r="T91" s="35" t="s">
        <v>158</v>
      </c>
      <c r="U91" s="2" t="s">
        <v>13</v>
      </c>
      <c r="V91" s="2" t="s">
        <v>14</v>
      </c>
      <c r="W91" s="2" t="s">
        <v>15</v>
      </c>
      <c r="X91" s="2" t="s">
        <v>16</v>
      </c>
      <c r="Y91" s="35" t="s">
        <v>159</v>
      </c>
      <c r="Z91" s="196" t="s">
        <v>97</v>
      </c>
      <c r="AA91" s="196" t="s">
        <v>98</v>
      </c>
      <c r="AB91" s="197" t="s">
        <v>236</v>
      </c>
      <c r="AC91" s="196" t="s">
        <v>99</v>
      </c>
    </row>
    <row r="92" spans="2:30" ht="81" customHeight="1" x14ac:dyDescent="0.2">
      <c r="B92" s="49"/>
      <c r="C92" s="348" t="s">
        <v>191</v>
      </c>
      <c r="D92" s="348"/>
      <c r="E92" s="348"/>
      <c r="F92" s="66" t="s">
        <v>262</v>
      </c>
      <c r="G92" s="67"/>
      <c r="H92" s="5" t="s">
        <v>24</v>
      </c>
      <c r="I92" s="10">
        <v>26700</v>
      </c>
      <c r="J92" s="247">
        <v>32956</v>
      </c>
      <c r="K92" s="10">
        <v>2346</v>
      </c>
      <c r="L92" s="10">
        <v>3025</v>
      </c>
      <c r="M92" s="10">
        <v>3297</v>
      </c>
      <c r="N92" s="10">
        <v>2250</v>
      </c>
      <c r="O92" s="69">
        <f t="shared" ref="O92:O99" si="22">SUM(K92:N92)</f>
        <v>10918</v>
      </c>
      <c r="P92" s="69">
        <v>2642</v>
      </c>
      <c r="Q92" s="69">
        <v>2497</v>
      </c>
      <c r="R92" s="69">
        <v>2487</v>
      </c>
      <c r="S92" s="69">
        <v>2461</v>
      </c>
      <c r="T92" s="69">
        <f>SUM(P92:S92)</f>
        <v>10087</v>
      </c>
      <c r="U92" s="69"/>
      <c r="V92" s="69"/>
      <c r="W92" s="69"/>
      <c r="X92" s="69"/>
      <c r="Y92" s="69">
        <f>SUM(U92:X92)</f>
        <v>0</v>
      </c>
      <c r="Z92" s="69">
        <f t="shared" ref="Z92:Z99" si="23">+Y92+T92+O92</f>
        <v>21005</v>
      </c>
      <c r="AA92" s="42">
        <f t="shared" ref="AA92:AA99" si="24">SUM(Z92/J92)</f>
        <v>0.63736497147712101</v>
      </c>
      <c r="AB92" s="3">
        <v>18358000</v>
      </c>
      <c r="AC92" s="270" t="s">
        <v>431</v>
      </c>
      <c r="AD92" s="63">
        <f>1754+1754+1753+1753+719+719+720+720</f>
        <v>9892</v>
      </c>
    </row>
    <row r="93" spans="2:30" ht="54.75" customHeight="1" outlineLevel="1" x14ac:dyDescent="0.2">
      <c r="B93" s="49"/>
      <c r="C93" s="344"/>
      <c r="D93" s="344"/>
      <c r="E93" s="344"/>
      <c r="F93" s="61"/>
      <c r="G93" s="16" t="s">
        <v>46</v>
      </c>
      <c r="H93" s="8" t="s">
        <v>263</v>
      </c>
      <c r="I93" s="59">
        <v>20000</v>
      </c>
      <c r="J93" s="248">
        <v>26256</v>
      </c>
      <c r="K93" s="67">
        <v>1816</v>
      </c>
      <c r="L93" s="67">
        <v>2237</v>
      </c>
      <c r="M93" s="67">
        <v>2435</v>
      </c>
      <c r="N93" s="67">
        <v>1587</v>
      </c>
      <c r="O93" s="67">
        <f t="shared" si="22"/>
        <v>8075</v>
      </c>
      <c r="P93" s="67">
        <v>2015</v>
      </c>
      <c r="Q93" s="67">
        <v>1814</v>
      </c>
      <c r="R93" s="67">
        <v>2227</v>
      </c>
      <c r="S93" s="67">
        <v>1768</v>
      </c>
      <c r="T93" s="67">
        <f t="shared" ref="T93:T99" si="25">SUM(P93+Q93+R93+S93)</f>
        <v>7824</v>
      </c>
      <c r="U93" s="67"/>
      <c r="V93" s="67"/>
      <c r="W93" s="67"/>
      <c r="X93" s="67"/>
      <c r="Y93" s="67">
        <f t="shared" ref="Y93:Y99" si="26">SUM(U93:X93)</f>
        <v>0</v>
      </c>
      <c r="Z93" s="68">
        <f t="shared" si="23"/>
        <v>15899</v>
      </c>
      <c r="AA93" s="70">
        <f t="shared" si="24"/>
        <v>0.60553778184034124</v>
      </c>
      <c r="AB93" s="3"/>
      <c r="AC93" s="3"/>
      <c r="AD93" s="81"/>
    </row>
    <row r="94" spans="2:30" ht="46.5" customHeight="1" outlineLevel="1" x14ac:dyDescent="0.2">
      <c r="B94" s="49"/>
      <c r="C94" s="71"/>
      <c r="D94" s="72"/>
      <c r="E94" s="73"/>
      <c r="F94" s="118"/>
      <c r="G94" s="16" t="s">
        <v>47</v>
      </c>
      <c r="H94" s="8" t="s">
        <v>263</v>
      </c>
      <c r="I94" s="59">
        <v>1200</v>
      </c>
      <c r="J94" s="67">
        <v>1200</v>
      </c>
      <c r="K94" s="67">
        <v>25</v>
      </c>
      <c r="L94" s="67">
        <v>19</v>
      </c>
      <c r="M94" s="67">
        <v>32</v>
      </c>
      <c r="N94" s="67">
        <v>48</v>
      </c>
      <c r="O94" s="67">
        <f t="shared" si="22"/>
        <v>124</v>
      </c>
      <c r="P94" s="67">
        <v>33</v>
      </c>
      <c r="Q94" s="67">
        <v>25</v>
      </c>
      <c r="R94" s="67">
        <v>35</v>
      </c>
      <c r="S94" s="67">
        <v>28</v>
      </c>
      <c r="T94" s="128">
        <f t="shared" si="25"/>
        <v>121</v>
      </c>
      <c r="U94" s="67"/>
      <c r="V94" s="67"/>
      <c r="W94" s="67"/>
      <c r="X94" s="67"/>
      <c r="Y94" s="67">
        <f t="shared" si="26"/>
        <v>0</v>
      </c>
      <c r="Z94" s="68">
        <f t="shared" si="23"/>
        <v>245</v>
      </c>
      <c r="AA94" s="70">
        <f t="shared" si="24"/>
        <v>0.20416666666666666</v>
      </c>
      <c r="AB94" s="3"/>
      <c r="AC94" s="3"/>
      <c r="AD94" s="81"/>
    </row>
    <row r="95" spans="2:30" ht="41.25" customHeight="1" outlineLevel="1" x14ac:dyDescent="0.2">
      <c r="B95" s="49"/>
      <c r="C95" s="332"/>
      <c r="D95" s="333"/>
      <c r="E95" s="334"/>
      <c r="F95" s="66"/>
      <c r="G95" s="16" t="s">
        <v>48</v>
      </c>
      <c r="H95" s="8" t="s">
        <v>263</v>
      </c>
      <c r="I95" s="59">
        <v>5500</v>
      </c>
      <c r="J95" s="67">
        <v>5500</v>
      </c>
      <c r="K95" s="67">
        <v>505</v>
      </c>
      <c r="L95" s="67">
        <v>769</v>
      </c>
      <c r="M95" s="67">
        <v>830</v>
      </c>
      <c r="N95" s="67">
        <v>615</v>
      </c>
      <c r="O95" s="67">
        <f t="shared" si="22"/>
        <v>2719</v>
      </c>
      <c r="P95" s="67">
        <v>594</v>
      </c>
      <c r="Q95" s="67">
        <v>658</v>
      </c>
      <c r="R95" s="67">
        <v>225</v>
      </c>
      <c r="S95" s="67">
        <v>665</v>
      </c>
      <c r="T95" s="67">
        <f t="shared" si="25"/>
        <v>2142</v>
      </c>
      <c r="U95" s="67"/>
      <c r="V95" s="67"/>
      <c r="W95" s="67"/>
      <c r="X95" s="67"/>
      <c r="Y95" s="67">
        <f t="shared" si="26"/>
        <v>0</v>
      </c>
      <c r="Z95" s="68">
        <f t="shared" si="23"/>
        <v>4861</v>
      </c>
      <c r="AA95" s="70">
        <f t="shared" si="24"/>
        <v>0.88381818181818184</v>
      </c>
      <c r="AB95" s="3"/>
      <c r="AC95" s="3"/>
      <c r="AD95" s="81"/>
    </row>
    <row r="96" spans="2:30" ht="51" x14ac:dyDescent="0.2">
      <c r="B96" s="49"/>
      <c r="C96" s="453"/>
      <c r="D96" s="453"/>
      <c r="E96" s="453"/>
      <c r="F96" s="8"/>
      <c r="G96" s="16" t="s">
        <v>49</v>
      </c>
      <c r="H96" s="8" t="s">
        <v>263</v>
      </c>
      <c r="I96" s="59">
        <v>1800</v>
      </c>
      <c r="J96" s="67">
        <v>1800</v>
      </c>
      <c r="K96" s="67">
        <v>124</v>
      </c>
      <c r="L96" s="67">
        <v>134</v>
      </c>
      <c r="M96" s="67">
        <v>169</v>
      </c>
      <c r="N96" s="67">
        <v>200</v>
      </c>
      <c r="O96" s="68">
        <f t="shared" si="22"/>
        <v>627</v>
      </c>
      <c r="P96" s="68">
        <v>139</v>
      </c>
      <c r="Q96" s="68">
        <v>152</v>
      </c>
      <c r="R96" s="68">
        <v>158</v>
      </c>
      <c r="S96" s="68">
        <v>123</v>
      </c>
      <c r="T96" s="68">
        <f t="shared" si="25"/>
        <v>572</v>
      </c>
      <c r="U96" s="68"/>
      <c r="V96" s="68"/>
      <c r="W96" s="68"/>
      <c r="X96" s="68"/>
      <c r="Y96" s="68">
        <f t="shared" si="26"/>
        <v>0</v>
      </c>
      <c r="Z96" s="68">
        <f t="shared" si="23"/>
        <v>1199</v>
      </c>
      <c r="AA96" s="70">
        <f t="shared" si="24"/>
        <v>0.6661111111111111</v>
      </c>
      <c r="AB96" s="10" t="s">
        <v>184</v>
      </c>
      <c r="AC96" s="7"/>
    </row>
    <row r="97" spans="2:29" ht="41.25" customHeight="1" x14ac:dyDescent="0.2">
      <c r="B97" s="49"/>
      <c r="C97" s="450"/>
      <c r="D97" s="451"/>
      <c r="E97" s="452"/>
      <c r="F97" s="32"/>
      <c r="G97" s="16" t="s">
        <v>50</v>
      </c>
      <c r="H97" s="8" t="s">
        <v>25</v>
      </c>
      <c r="I97" s="67">
        <v>12720</v>
      </c>
      <c r="J97" s="67">
        <v>12720</v>
      </c>
      <c r="K97" s="67">
        <v>951</v>
      </c>
      <c r="L97" s="67">
        <v>887</v>
      </c>
      <c r="M97" s="67">
        <v>1146</v>
      </c>
      <c r="N97" s="67">
        <v>1327</v>
      </c>
      <c r="O97" s="68">
        <f t="shared" si="22"/>
        <v>4311</v>
      </c>
      <c r="P97" s="68">
        <v>1766</v>
      </c>
      <c r="Q97" s="68">
        <v>1143</v>
      </c>
      <c r="R97" s="68">
        <v>1360</v>
      </c>
      <c r="S97" s="68">
        <v>1011</v>
      </c>
      <c r="T97" s="68">
        <f t="shared" si="25"/>
        <v>5280</v>
      </c>
      <c r="U97" s="68"/>
      <c r="V97" s="68"/>
      <c r="W97" s="68"/>
      <c r="X97" s="68"/>
      <c r="Y97" s="68">
        <f t="shared" si="26"/>
        <v>0</v>
      </c>
      <c r="Z97" s="68">
        <f t="shared" si="23"/>
        <v>9591</v>
      </c>
      <c r="AA97" s="70">
        <f t="shared" si="24"/>
        <v>0.75400943396226416</v>
      </c>
      <c r="AB97" s="10"/>
      <c r="AC97" s="10"/>
    </row>
    <row r="98" spans="2:29" ht="30.75" customHeight="1" x14ac:dyDescent="0.2">
      <c r="B98" s="49"/>
      <c r="C98" s="450"/>
      <c r="D98" s="451"/>
      <c r="E98" s="452"/>
      <c r="F98" s="32"/>
      <c r="G98" s="16" t="s">
        <v>214</v>
      </c>
      <c r="H98" s="8" t="s">
        <v>25</v>
      </c>
      <c r="I98" s="67">
        <v>20400</v>
      </c>
      <c r="J98" s="67">
        <v>20400</v>
      </c>
      <c r="K98" s="67">
        <v>1654</v>
      </c>
      <c r="L98" s="67">
        <v>1977</v>
      </c>
      <c r="M98" s="67">
        <v>2172</v>
      </c>
      <c r="N98" s="67">
        <v>2241</v>
      </c>
      <c r="O98" s="68">
        <f t="shared" si="22"/>
        <v>8044</v>
      </c>
      <c r="P98" s="68">
        <v>2658</v>
      </c>
      <c r="Q98" s="68">
        <v>1372</v>
      </c>
      <c r="R98" s="68">
        <v>2492</v>
      </c>
      <c r="S98" s="68">
        <v>2074</v>
      </c>
      <c r="T98" s="68">
        <f t="shared" si="25"/>
        <v>8596</v>
      </c>
      <c r="U98" s="68"/>
      <c r="V98" s="68"/>
      <c r="W98" s="68"/>
      <c r="X98" s="68"/>
      <c r="Y98" s="68">
        <f t="shared" si="26"/>
        <v>0</v>
      </c>
      <c r="Z98" s="68">
        <f t="shared" si="23"/>
        <v>16640</v>
      </c>
      <c r="AA98" s="70">
        <f t="shared" si="24"/>
        <v>0.81568627450980391</v>
      </c>
      <c r="AB98" s="17"/>
      <c r="AC98" s="17"/>
    </row>
    <row r="99" spans="2:29" ht="20.25" customHeight="1" x14ac:dyDescent="0.2">
      <c r="B99" s="49"/>
      <c r="C99" s="450"/>
      <c r="D99" s="451"/>
      <c r="E99" s="452"/>
      <c r="F99" s="32"/>
      <c r="G99" s="16" t="s">
        <v>147</v>
      </c>
      <c r="H99" s="8" t="s">
        <v>25</v>
      </c>
      <c r="I99" s="67">
        <v>4780</v>
      </c>
      <c r="J99" s="68">
        <v>4780</v>
      </c>
      <c r="K99" s="67">
        <v>288</v>
      </c>
      <c r="L99" s="67">
        <v>336</v>
      </c>
      <c r="M99" s="67">
        <v>387</v>
      </c>
      <c r="N99" s="67">
        <v>372</v>
      </c>
      <c r="O99" s="68">
        <f t="shared" si="22"/>
        <v>1383</v>
      </c>
      <c r="P99" s="68">
        <v>419</v>
      </c>
      <c r="Q99" s="68">
        <v>372</v>
      </c>
      <c r="R99" s="68">
        <v>357</v>
      </c>
      <c r="S99" s="68">
        <v>343</v>
      </c>
      <c r="T99" s="68">
        <f t="shared" si="25"/>
        <v>1491</v>
      </c>
      <c r="U99" s="68"/>
      <c r="V99" s="68"/>
      <c r="W99" s="68"/>
      <c r="X99" s="68"/>
      <c r="Y99" s="68">
        <f t="shared" si="26"/>
        <v>0</v>
      </c>
      <c r="Z99" s="68">
        <f t="shared" si="23"/>
        <v>2874</v>
      </c>
      <c r="AA99" s="70">
        <f t="shared" si="24"/>
        <v>0.60125523012552307</v>
      </c>
      <c r="AB99" s="17"/>
      <c r="AC99" s="17"/>
    </row>
    <row r="100" spans="2:29" ht="16.5" customHeight="1" x14ac:dyDescent="0.2">
      <c r="B100" s="351" t="s">
        <v>104</v>
      </c>
      <c r="C100" s="352"/>
      <c r="D100" s="352"/>
      <c r="E100" s="352"/>
      <c r="F100" s="352"/>
      <c r="G100" s="352"/>
      <c r="H100" s="352"/>
      <c r="I100" s="352"/>
      <c r="J100" s="352"/>
      <c r="K100" s="352"/>
      <c r="L100" s="352"/>
      <c r="M100" s="352"/>
      <c r="N100" s="352"/>
      <c r="O100" s="352"/>
      <c r="P100" s="352"/>
      <c r="Q100" s="352"/>
      <c r="R100" s="352"/>
      <c r="S100" s="352"/>
      <c r="T100" s="352"/>
      <c r="U100" s="352"/>
      <c r="V100" s="352"/>
      <c r="W100" s="352"/>
      <c r="X100" s="352"/>
      <c r="Y100" s="352"/>
      <c r="Z100" s="352"/>
      <c r="AA100" s="352"/>
      <c r="AB100" s="352"/>
      <c r="AC100" s="221"/>
    </row>
    <row r="101" spans="2:29" ht="13.5" customHeight="1" x14ac:dyDescent="0.2">
      <c r="B101" s="368" t="s">
        <v>102</v>
      </c>
      <c r="C101" s="368"/>
      <c r="D101" s="368"/>
      <c r="E101" s="368"/>
      <c r="F101" s="482" t="s">
        <v>105</v>
      </c>
      <c r="G101" s="482"/>
      <c r="H101" s="482"/>
      <c r="I101" s="482"/>
      <c r="J101" s="482"/>
      <c r="K101" s="482"/>
      <c r="L101" s="482"/>
      <c r="M101" s="482"/>
      <c r="N101" s="482"/>
      <c r="O101" s="482"/>
      <c r="P101" s="482"/>
      <c r="Q101" s="482"/>
      <c r="R101" s="482"/>
      <c r="S101" s="482"/>
      <c r="T101" s="482"/>
      <c r="U101" s="482"/>
      <c r="V101" s="482"/>
      <c r="W101" s="482"/>
      <c r="X101" s="482"/>
      <c r="Y101" s="482"/>
      <c r="Z101" s="482"/>
      <c r="AA101" s="482"/>
      <c r="AB101" s="482"/>
      <c r="AC101" s="482"/>
    </row>
    <row r="102" spans="2:29" ht="15" customHeight="1" x14ac:dyDescent="0.2">
      <c r="B102" s="368" t="s">
        <v>103</v>
      </c>
      <c r="C102" s="368"/>
      <c r="D102" s="368"/>
      <c r="E102" s="368"/>
      <c r="F102" s="386" t="s">
        <v>210</v>
      </c>
      <c r="G102" s="386"/>
      <c r="H102" s="386"/>
      <c r="I102" s="386"/>
      <c r="J102" s="386"/>
      <c r="K102" s="386"/>
      <c r="L102" s="386"/>
      <c r="M102" s="386"/>
      <c r="N102" s="386"/>
      <c r="O102" s="386"/>
      <c r="P102" s="386"/>
      <c r="Q102" s="386"/>
      <c r="R102" s="386"/>
      <c r="S102" s="386"/>
      <c r="T102" s="386"/>
      <c r="U102" s="386"/>
      <c r="V102" s="386"/>
      <c r="W102" s="386"/>
      <c r="X102" s="386"/>
      <c r="Y102" s="386"/>
      <c r="Z102" s="386"/>
      <c r="AA102" s="386"/>
      <c r="AB102" s="386"/>
      <c r="AC102" s="386"/>
    </row>
    <row r="103" spans="2:29" ht="12.75" customHeight="1" x14ac:dyDescent="0.2">
      <c r="B103" s="90"/>
      <c r="C103" s="345" t="s">
        <v>235</v>
      </c>
      <c r="D103" s="346"/>
      <c r="E103" s="346"/>
      <c r="F103" s="346"/>
      <c r="G103" s="346"/>
      <c r="H103" s="346"/>
      <c r="I103" s="346"/>
      <c r="J103" s="346"/>
      <c r="K103" s="346"/>
      <c r="L103" s="346"/>
      <c r="M103" s="346"/>
      <c r="N103" s="346"/>
      <c r="O103" s="346"/>
      <c r="P103" s="346"/>
      <c r="Q103" s="346"/>
      <c r="R103" s="346"/>
      <c r="S103" s="346"/>
      <c r="T103" s="346"/>
      <c r="U103" s="346"/>
      <c r="V103" s="346"/>
      <c r="W103" s="346"/>
      <c r="X103" s="346"/>
      <c r="Y103" s="346"/>
      <c r="Z103" s="346"/>
      <c r="AA103" s="346"/>
      <c r="AB103" s="346"/>
      <c r="AC103" s="347"/>
    </row>
    <row r="104" spans="2:29" ht="50.25" customHeight="1" x14ac:dyDescent="0.2">
      <c r="B104" s="191" t="s">
        <v>139</v>
      </c>
      <c r="C104" s="379" t="s">
        <v>94</v>
      </c>
      <c r="D104" s="380"/>
      <c r="E104" s="381"/>
      <c r="F104" s="192" t="s">
        <v>95</v>
      </c>
      <c r="G104" s="193" t="s">
        <v>4</v>
      </c>
      <c r="H104" s="194" t="s">
        <v>3</v>
      </c>
      <c r="I104" s="195" t="s">
        <v>96</v>
      </c>
      <c r="J104" s="195" t="s">
        <v>150</v>
      </c>
      <c r="K104" s="1" t="s">
        <v>5</v>
      </c>
      <c r="L104" s="1" t="s">
        <v>6</v>
      </c>
      <c r="M104" s="1" t="s">
        <v>7</v>
      </c>
      <c r="N104" s="1" t="s">
        <v>8</v>
      </c>
      <c r="O104" s="35" t="s">
        <v>157</v>
      </c>
      <c r="P104" s="2" t="s">
        <v>9</v>
      </c>
      <c r="Q104" s="2" t="s">
        <v>10</v>
      </c>
      <c r="R104" s="2" t="s">
        <v>11</v>
      </c>
      <c r="S104" s="2" t="s">
        <v>12</v>
      </c>
      <c r="T104" s="35" t="s">
        <v>158</v>
      </c>
      <c r="U104" s="2" t="s">
        <v>13</v>
      </c>
      <c r="V104" s="2" t="s">
        <v>14</v>
      </c>
      <c r="W104" s="2" t="s">
        <v>15</v>
      </c>
      <c r="X104" s="2" t="s">
        <v>16</v>
      </c>
      <c r="Y104" s="35" t="s">
        <v>159</v>
      </c>
      <c r="Z104" s="196" t="s">
        <v>97</v>
      </c>
      <c r="AA104" s="196" t="s">
        <v>98</v>
      </c>
      <c r="AB104" s="197" t="s">
        <v>256</v>
      </c>
      <c r="AC104" s="196" t="s">
        <v>99</v>
      </c>
    </row>
    <row r="105" spans="2:29" ht="62.25" customHeight="1" x14ac:dyDescent="0.2">
      <c r="B105" s="31">
        <v>4</v>
      </c>
      <c r="C105" s="348" t="s">
        <v>352</v>
      </c>
      <c r="D105" s="348"/>
      <c r="E105" s="348"/>
      <c r="F105" s="66"/>
      <c r="G105" s="80"/>
      <c r="H105" s="76" t="s">
        <v>23</v>
      </c>
      <c r="I105" s="7">
        <v>6</v>
      </c>
      <c r="J105" s="10">
        <v>6</v>
      </c>
      <c r="K105" s="110" t="s">
        <v>211</v>
      </c>
      <c r="L105" s="110" t="s">
        <v>211</v>
      </c>
      <c r="M105" s="10">
        <v>1</v>
      </c>
      <c r="N105" s="10">
        <v>1</v>
      </c>
      <c r="O105" s="110" t="s">
        <v>351</v>
      </c>
      <c r="P105" s="69">
        <v>1</v>
      </c>
      <c r="Q105" s="69">
        <v>1</v>
      </c>
      <c r="R105" s="110" t="s">
        <v>211</v>
      </c>
      <c r="S105" s="69">
        <v>1</v>
      </c>
      <c r="T105" s="69">
        <f t="shared" ref="T105:T111" si="27">SUM(P105+Q105+R105+S105)</f>
        <v>3</v>
      </c>
      <c r="U105" s="110"/>
      <c r="V105" s="10"/>
      <c r="W105" s="69"/>
      <c r="X105" s="110"/>
      <c r="Y105" s="69">
        <f>SUM(U105:X105)</f>
        <v>0</v>
      </c>
      <c r="Z105" s="110" t="s">
        <v>360</v>
      </c>
      <c r="AA105" s="42">
        <f t="shared" ref="AA105:AA111" si="28">SUM(Z105/J105)</f>
        <v>0.83333333333333337</v>
      </c>
      <c r="AB105" s="3">
        <v>2723832</v>
      </c>
      <c r="AC105" s="246" t="s">
        <v>432</v>
      </c>
    </row>
    <row r="106" spans="2:29" ht="51" customHeight="1" x14ac:dyDescent="0.2">
      <c r="B106" s="31"/>
      <c r="C106" s="332"/>
      <c r="D106" s="333"/>
      <c r="E106" s="334"/>
      <c r="F106" s="66" t="s">
        <v>352</v>
      </c>
      <c r="G106" s="80"/>
      <c r="H106" s="76" t="s">
        <v>23</v>
      </c>
      <c r="I106" s="102">
        <v>6</v>
      </c>
      <c r="J106" s="10">
        <v>6</v>
      </c>
      <c r="K106" s="110" t="s">
        <v>211</v>
      </c>
      <c r="L106" s="110" t="s">
        <v>211</v>
      </c>
      <c r="M106" s="10">
        <v>1</v>
      </c>
      <c r="N106" s="10">
        <v>1</v>
      </c>
      <c r="O106" s="110" t="s">
        <v>351</v>
      </c>
      <c r="P106" s="69">
        <v>1</v>
      </c>
      <c r="Q106" s="69">
        <v>1</v>
      </c>
      <c r="R106" s="110" t="s">
        <v>211</v>
      </c>
      <c r="S106" s="69">
        <v>1</v>
      </c>
      <c r="T106" s="69">
        <f t="shared" si="27"/>
        <v>3</v>
      </c>
      <c r="U106" s="110"/>
      <c r="V106" s="10"/>
      <c r="W106" s="69"/>
      <c r="X106" s="110"/>
      <c r="Y106" s="69">
        <f t="shared" ref="Y106:Y111" si="29">SUM(U106:X106)</f>
        <v>0</v>
      </c>
      <c r="Z106" s="110" t="s">
        <v>360</v>
      </c>
      <c r="AA106" s="42">
        <f t="shared" si="28"/>
        <v>0.83333333333333337</v>
      </c>
      <c r="AB106" s="55"/>
      <c r="AC106" s="66"/>
    </row>
    <row r="107" spans="2:29" ht="46.5" customHeight="1" x14ac:dyDescent="0.2">
      <c r="B107" s="49"/>
      <c r="C107" s="453"/>
      <c r="D107" s="453"/>
      <c r="E107" s="453"/>
      <c r="F107" s="82"/>
      <c r="G107" s="60" t="s">
        <v>156</v>
      </c>
      <c r="H107" s="77" t="s">
        <v>19</v>
      </c>
      <c r="I107" s="39">
        <v>6</v>
      </c>
      <c r="J107" s="67">
        <v>6</v>
      </c>
      <c r="K107" s="109" t="s">
        <v>211</v>
      </c>
      <c r="L107" s="109" t="s">
        <v>211</v>
      </c>
      <c r="M107" s="67">
        <v>1</v>
      </c>
      <c r="N107" s="67">
        <v>1</v>
      </c>
      <c r="O107" s="109" t="s">
        <v>351</v>
      </c>
      <c r="P107" s="68">
        <v>1</v>
      </c>
      <c r="Q107" s="68">
        <v>1</v>
      </c>
      <c r="R107" s="109" t="s">
        <v>211</v>
      </c>
      <c r="S107" s="68">
        <v>1</v>
      </c>
      <c r="T107" s="68">
        <f t="shared" si="27"/>
        <v>3</v>
      </c>
      <c r="U107" s="109"/>
      <c r="V107" s="67"/>
      <c r="W107" s="68"/>
      <c r="X107" s="109"/>
      <c r="Y107" s="68">
        <f t="shared" si="29"/>
        <v>0</v>
      </c>
      <c r="Z107" s="109" t="s">
        <v>360</v>
      </c>
      <c r="AA107" s="70">
        <f t="shared" si="28"/>
        <v>0.83333333333333337</v>
      </c>
      <c r="AB107" s="12"/>
      <c r="AC107" s="12"/>
    </row>
    <row r="108" spans="2:29" ht="70.5" customHeight="1" x14ac:dyDescent="0.2">
      <c r="B108" s="49"/>
      <c r="C108" s="453"/>
      <c r="D108" s="453"/>
      <c r="E108" s="453"/>
      <c r="F108" s="80"/>
      <c r="G108" s="60" t="s">
        <v>264</v>
      </c>
      <c r="H108" s="76" t="s">
        <v>19</v>
      </c>
      <c r="I108" s="91">
        <v>6</v>
      </c>
      <c r="J108" s="67">
        <v>6</v>
      </c>
      <c r="K108" s="109" t="s">
        <v>211</v>
      </c>
      <c r="L108" s="109" t="s">
        <v>211</v>
      </c>
      <c r="M108" s="67">
        <v>1</v>
      </c>
      <c r="N108" s="67">
        <v>1</v>
      </c>
      <c r="O108" s="109" t="s">
        <v>351</v>
      </c>
      <c r="P108" s="68">
        <v>1</v>
      </c>
      <c r="Q108" s="68">
        <v>1</v>
      </c>
      <c r="R108" s="109" t="s">
        <v>211</v>
      </c>
      <c r="S108" s="68">
        <v>1</v>
      </c>
      <c r="T108" s="68">
        <f t="shared" si="27"/>
        <v>3</v>
      </c>
      <c r="U108" s="109"/>
      <c r="V108" s="67"/>
      <c r="W108" s="68"/>
      <c r="X108" s="109"/>
      <c r="Y108" s="68">
        <f t="shared" si="29"/>
        <v>0</v>
      </c>
      <c r="Z108" s="109" t="s">
        <v>360</v>
      </c>
      <c r="AA108" s="70">
        <f t="shared" si="28"/>
        <v>0.83333333333333337</v>
      </c>
      <c r="AB108" s="12"/>
      <c r="AC108" s="12"/>
    </row>
    <row r="109" spans="2:29" ht="63.75" customHeight="1" x14ac:dyDescent="0.2">
      <c r="B109" s="49"/>
      <c r="C109" s="453"/>
      <c r="D109" s="453"/>
      <c r="E109" s="453"/>
      <c r="F109" s="80"/>
      <c r="G109" s="60" t="s">
        <v>265</v>
      </c>
      <c r="H109" s="78" t="s">
        <v>19</v>
      </c>
      <c r="I109" s="92">
        <v>6</v>
      </c>
      <c r="J109" s="67">
        <v>6</v>
      </c>
      <c r="K109" s="109" t="s">
        <v>211</v>
      </c>
      <c r="L109" s="109" t="s">
        <v>211</v>
      </c>
      <c r="M109" s="67">
        <v>1</v>
      </c>
      <c r="N109" s="67">
        <v>1</v>
      </c>
      <c r="O109" s="109" t="s">
        <v>351</v>
      </c>
      <c r="P109" s="68">
        <v>1</v>
      </c>
      <c r="Q109" s="68">
        <v>1</v>
      </c>
      <c r="R109" s="109" t="s">
        <v>211</v>
      </c>
      <c r="S109" s="68">
        <v>1</v>
      </c>
      <c r="T109" s="68">
        <f t="shared" si="27"/>
        <v>3</v>
      </c>
      <c r="U109" s="109"/>
      <c r="V109" s="67"/>
      <c r="W109" s="68"/>
      <c r="X109" s="109"/>
      <c r="Y109" s="68">
        <f t="shared" si="29"/>
        <v>0</v>
      </c>
      <c r="Z109" s="109" t="s">
        <v>360</v>
      </c>
      <c r="AA109" s="70">
        <f t="shared" si="28"/>
        <v>0.83333333333333337</v>
      </c>
      <c r="AB109" s="12"/>
      <c r="AC109" s="12"/>
    </row>
    <row r="110" spans="2:29" ht="83.25" customHeight="1" x14ac:dyDescent="0.2">
      <c r="B110" s="49"/>
      <c r="C110" s="181"/>
      <c r="D110" s="182"/>
      <c r="E110" s="183"/>
      <c r="F110" s="4"/>
      <c r="G110" s="153" t="s">
        <v>266</v>
      </c>
      <c r="H110" s="79" t="s">
        <v>24</v>
      </c>
      <c r="I110" s="8">
        <v>500</v>
      </c>
      <c r="J110" s="67">
        <v>500</v>
      </c>
      <c r="K110" s="109" t="s">
        <v>211</v>
      </c>
      <c r="L110" s="109" t="s">
        <v>211</v>
      </c>
      <c r="M110" s="109" t="s">
        <v>211</v>
      </c>
      <c r="N110" s="67">
        <v>18</v>
      </c>
      <c r="O110" s="109" t="s">
        <v>388</v>
      </c>
      <c r="P110" s="68">
        <v>435</v>
      </c>
      <c r="Q110" s="68">
        <v>384</v>
      </c>
      <c r="R110" s="109" t="s">
        <v>211</v>
      </c>
      <c r="S110" s="68">
        <v>284</v>
      </c>
      <c r="T110" s="68">
        <f t="shared" si="27"/>
        <v>1103</v>
      </c>
      <c r="U110" s="109"/>
      <c r="V110" s="67"/>
      <c r="W110" s="109"/>
      <c r="X110" s="109"/>
      <c r="Y110" s="68">
        <f t="shared" si="29"/>
        <v>0</v>
      </c>
      <c r="Z110" s="109" t="s">
        <v>402</v>
      </c>
      <c r="AA110" s="273">
        <f t="shared" si="28"/>
        <v>1</v>
      </c>
      <c r="AB110" s="12"/>
      <c r="AC110" s="12"/>
    </row>
    <row r="111" spans="2:29" ht="80.25" customHeight="1" x14ac:dyDescent="0.2">
      <c r="B111" s="49"/>
      <c r="C111" s="340"/>
      <c r="D111" s="341"/>
      <c r="E111" s="342"/>
      <c r="F111" s="4"/>
      <c r="G111" s="60" t="s">
        <v>160</v>
      </c>
      <c r="H111" s="8" t="s">
        <v>27</v>
      </c>
      <c r="I111" s="8">
        <v>1</v>
      </c>
      <c r="J111" s="67">
        <v>1</v>
      </c>
      <c r="K111" s="109" t="s">
        <v>211</v>
      </c>
      <c r="L111" s="109" t="s">
        <v>211</v>
      </c>
      <c r="M111" s="109" t="s">
        <v>211</v>
      </c>
      <c r="N111" s="109" t="s">
        <v>211</v>
      </c>
      <c r="O111" s="109" t="s">
        <v>211</v>
      </c>
      <c r="P111" s="109" t="s">
        <v>211</v>
      </c>
      <c r="Q111" s="109" t="s">
        <v>211</v>
      </c>
      <c r="R111" s="68">
        <v>1</v>
      </c>
      <c r="S111" s="109" t="s">
        <v>211</v>
      </c>
      <c r="T111" s="109">
        <f t="shared" si="27"/>
        <v>1</v>
      </c>
      <c r="U111" s="109"/>
      <c r="V111" s="67"/>
      <c r="W111" s="109"/>
      <c r="X111" s="109"/>
      <c r="Y111" s="68">
        <f t="shared" si="29"/>
        <v>0</v>
      </c>
      <c r="Z111" s="109" t="s">
        <v>353</v>
      </c>
      <c r="AA111" s="273">
        <f t="shared" si="28"/>
        <v>1</v>
      </c>
      <c r="AB111" s="12"/>
      <c r="AC111" s="12"/>
    </row>
    <row r="112" spans="2:29" ht="15" customHeight="1" x14ac:dyDescent="0.2">
      <c r="B112" s="541" t="s">
        <v>213</v>
      </c>
      <c r="C112" s="542"/>
      <c r="D112" s="542"/>
      <c r="E112" s="542"/>
      <c r="F112" s="542"/>
      <c r="G112" s="542"/>
      <c r="H112" s="542"/>
      <c r="I112" s="542"/>
      <c r="J112" s="542"/>
      <c r="K112" s="542"/>
      <c r="L112" s="542"/>
      <c r="M112" s="542"/>
      <c r="N112" s="542"/>
      <c r="O112" s="542"/>
      <c r="P112" s="542"/>
      <c r="Q112" s="542"/>
      <c r="R112" s="542"/>
      <c r="S112" s="542"/>
      <c r="T112" s="542"/>
      <c r="U112" s="542"/>
      <c r="V112" s="542"/>
      <c r="W112" s="542"/>
      <c r="X112" s="542"/>
      <c r="Y112" s="542"/>
      <c r="Z112" s="542"/>
      <c r="AA112" s="542"/>
      <c r="AB112" s="542"/>
      <c r="AC112" s="543"/>
    </row>
    <row r="113" spans="1:30" s="188" customFormat="1" ht="18" customHeight="1" x14ac:dyDescent="0.2">
      <c r="B113" s="377" t="s">
        <v>100</v>
      </c>
      <c r="C113" s="377"/>
      <c r="D113" s="377"/>
      <c r="E113" s="377"/>
      <c r="F113" s="447" t="s">
        <v>110</v>
      </c>
      <c r="G113" s="448"/>
      <c r="H113" s="448"/>
      <c r="I113" s="448"/>
      <c r="J113" s="448"/>
      <c r="K113" s="448"/>
      <c r="L113" s="448"/>
      <c r="M113" s="448"/>
      <c r="N113" s="448"/>
      <c r="O113" s="448"/>
      <c r="P113" s="448"/>
      <c r="Q113" s="448"/>
      <c r="R113" s="448"/>
      <c r="S113" s="448"/>
      <c r="T113" s="448"/>
      <c r="U113" s="448"/>
      <c r="V113" s="448"/>
      <c r="W113" s="448"/>
      <c r="X113" s="448"/>
      <c r="Y113" s="448"/>
      <c r="Z113" s="448"/>
      <c r="AA113" s="448"/>
      <c r="AB113" s="448"/>
      <c r="AC113" s="449"/>
    </row>
    <row r="114" spans="1:30" s="188" customFormat="1" ht="31.5" customHeight="1" x14ac:dyDescent="0.2">
      <c r="B114" s="373" t="s">
        <v>90</v>
      </c>
      <c r="C114" s="373"/>
      <c r="D114" s="373"/>
      <c r="E114" s="373"/>
      <c r="F114" s="463" t="s">
        <v>336</v>
      </c>
      <c r="G114" s="464"/>
      <c r="H114" s="464"/>
      <c r="I114" s="464"/>
      <c r="J114" s="464"/>
      <c r="K114" s="464"/>
      <c r="L114" s="464"/>
      <c r="M114" s="464"/>
      <c r="N114" s="464"/>
      <c r="O114" s="464"/>
      <c r="P114" s="464"/>
      <c r="Q114" s="464"/>
      <c r="R114" s="464"/>
      <c r="S114" s="464"/>
      <c r="T114" s="464"/>
      <c r="U114" s="464"/>
      <c r="V114" s="464"/>
      <c r="W114" s="464"/>
      <c r="X114" s="464"/>
      <c r="Y114" s="464"/>
      <c r="Z114" s="464"/>
      <c r="AA114" s="464"/>
      <c r="AB114" s="464"/>
      <c r="AC114" s="465"/>
    </row>
    <row r="115" spans="1:30" s="188" customFormat="1" ht="15.75" customHeight="1" x14ac:dyDescent="0.2">
      <c r="B115" s="369" t="s">
        <v>145</v>
      </c>
      <c r="C115" s="370"/>
      <c r="D115" s="370"/>
      <c r="E115" s="371"/>
      <c r="F115" s="447" t="s">
        <v>222</v>
      </c>
      <c r="G115" s="448"/>
      <c r="H115" s="448"/>
      <c r="I115" s="448"/>
      <c r="J115" s="448"/>
      <c r="K115" s="448"/>
      <c r="L115" s="448"/>
      <c r="M115" s="448"/>
      <c r="N115" s="448"/>
      <c r="O115" s="448"/>
      <c r="P115" s="448"/>
      <c r="Q115" s="448"/>
      <c r="R115" s="448"/>
      <c r="S115" s="448"/>
      <c r="T115" s="448"/>
      <c r="U115" s="448"/>
      <c r="V115" s="448"/>
      <c r="W115" s="448"/>
      <c r="X115" s="448"/>
      <c r="Y115" s="448"/>
      <c r="Z115" s="448"/>
      <c r="AA115" s="448"/>
      <c r="AB115" s="448"/>
      <c r="AC115" s="449"/>
    </row>
    <row r="116" spans="1:30" s="188" customFormat="1" ht="21.75" customHeight="1" x14ac:dyDescent="0.2">
      <c r="B116" s="351" t="s">
        <v>153</v>
      </c>
      <c r="C116" s="352"/>
      <c r="D116" s="352"/>
      <c r="E116" s="352"/>
      <c r="F116" s="352"/>
      <c r="G116" s="352"/>
      <c r="H116" s="352"/>
      <c r="I116" s="352"/>
      <c r="J116" s="352"/>
      <c r="K116" s="352"/>
      <c r="L116" s="352"/>
      <c r="M116" s="352"/>
      <c r="N116" s="352"/>
      <c r="O116" s="352"/>
      <c r="P116" s="352"/>
      <c r="Q116" s="352"/>
      <c r="R116" s="352"/>
      <c r="S116" s="352"/>
      <c r="T116" s="352"/>
      <c r="U116" s="352"/>
      <c r="V116" s="352"/>
      <c r="W116" s="352"/>
      <c r="X116" s="352"/>
      <c r="Y116" s="352"/>
      <c r="Z116" s="352"/>
      <c r="AA116" s="352"/>
      <c r="AB116" s="352"/>
      <c r="AC116" s="225"/>
    </row>
    <row r="117" spans="1:30" s="188" customFormat="1" ht="17.25" customHeight="1" x14ac:dyDescent="0.2">
      <c r="B117" s="368" t="s">
        <v>103</v>
      </c>
      <c r="C117" s="368"/>
      <c r="D117" s="368"/>
      <c r="E117" s="368"/>
      <c r="F117" s="353" t="s">
        <v>111</v>
      </c>
      <c r="G117" s="354"/>
      <c r="H117" s="354"/>
      <c r="I117" s="354"/>
      <c r="J117" s="354"/>
      <c r="K117" s="354"/>
      <c r="L117" s="354"/>
      <c r="M117" s="354"/>
      <c r="N117" s="354"/>
      <c r="O117" s="354"/>
      <c r="P117" s="354"/>
      <c r="Q117" s="354"/>
      <c r="R117" s="354"/>
      <c r="S117" s="354"/>
      <c r="T117" s="354"/>
      <c r="U117" s="354"/>
      <c r="V117" s="354"/>
      <c r="W117" s="354"/>
      <c r="X117" s="354"/>
      <c r="Y117" s="354"/>
      <c r="Z117" s="354"/>
      <c r="AA117" s="354"/>
      <c r="AB117" s="354"/>
      <c r="AC117" s="355"/>
    </row>
    <row r="118" spans="1:30" s="188" customFormat="1" ht="30.75" customHeight="1" x14ac:dyDescent="0.2">
      <c r="B118" s="368" t="s">
        <v>102</v>
      </c>
      <c r="C118" s="368"/>
      <c r="D118" s="368"/>
      <c r="E118" s="368"/>
      <c r="F118" s="457" t="s">
        <v>212</v>
      </c>
      <c r="G118" s="458"/>
      <c r="H118" s="458"/>
      <c r="I118" s="458"/>
      <c r="J118" s="458"/>
      <c r="K118" s="458"/>
      <c r="L118" s="458"/>
      <c r="M118" s="458"/>
      <c r="N118" s="458"/>
      <c r="O118" s="458"/>
      <c r="P118" s="458"/>
      <c r="Q118" s="458"/>
      <c r="R118" s="458"/>
      <c r="S118" s="458"/>
      <c r="T118" s="458"/>
      <c r="U118" s="458"/>
      <c r="V118" s="458"/>
      <c r="W118" s="458"/>
      <c r="X118" s="458"/>
      <c r="Y118" s="458"/>
      <c r="Z118" s="458"/>
      <c r="AA118" s="458"/>
      <c r="AB118" s="458"/>
      <c r="AC118" s="459"/>
    </row>
    <row r="119" spans="1:30" s="188" customFormat="1" ht="42" customHeight="1" x14ac:dyDescent="0.2">
      <c r="B119" s="454" t="s">
        <v>337</v>
      </c>
      <c r="C119" s="455"/>
      <c r="D119" s="455"/>
      <c r="E119" s="456"/>
      <c r="F119" s="460" t="s">
        <v>338</v>
      </c>
      <c r="G119" s="461"/>
      <c r="H119" s="461"/>
      <c r="I119" s="461"/>
      <c r="J119" s="461"/>
      <c r="K119" s="461"/>
      <c r="L119" s="461"/>
      <c r="M119" s="461"/>
      <c r="N119" s="461"/>
      <c r="O119" s="461"/>
      <c r="P119" s="461"/>
      <c r="Q119" s="461"/>
      <c r="R119" s="461"/>
      <c r="S119" s="461"/>
      <c r="T119" s="461"/>
      <c r="U119" s="461"/>
      <c r="V119" s="461"/>
      <c r="W119" s="461"/>
      <c r="X119" s="461"/>
      <c r="Y119" s="461"/>
      <c r="Z119" s="461"/>
      <c r="AA119" s="461"/>
      <c r="AB119" s="461"/>
      <c r="AC119" s="462"/>
    </row>
    <row r="120" spans="1:30" ht="21" customHeight="1" x14ac:dyDescent="0.2">
      <c r="A120" s="237"/>
      <c r="B120" s="100"/>
      <c r="C120" s="345" t="s">
        <v>235</v>
      </c>
      <c r="D120" s="346"/>
      <c r="E120" s="346"/>
      <c r="F120" s="346"/>
      <c r="G120" s="346"/>
      <c r="H120" s="346"/>
      <c r="I120" s="346"/>
      <c r="J120" s="346"/>
      <c r="K120" s="346"/>
      <c r="L120" s="346"/>
      <c r="M120" s="346"/>
      <c r="N120" s="346"/>
      <c r="O120" s="346"/>
      <c r="P120" s="346"/>
      <c r="Q120" s="346"/>
      <c r="R120" s="346"/>
      <c r="S120" s="346"/>
      <c r="T120" s="346"/>
      <c r="U120" s="346"/>
      <c r="V120" s="346"/>
      <c r="W120" s="346"/>
      <c r="X120" s="346"/>
      <c r="Y120" s="346"/>
      <c r="Z120" s="346"/>
      <c r="AA120" s="346"/>
      <c r="AB120" s="346"/>
      <c r="AC120" s="347"/>
    </row>
    <row r="121" spans="1:30" ht="51" customHeight="1" x14ac:dyDescent="0.2">
      <c r="B121" s="191" t="s">
        <v>139</v>
      </c>
      <c r="C121" s="379" t="s">
        <v>94</v>
      </c>
      <c r="D121" s="380"/>
      <c r="E121" s="381"/>
      <c r="F121" s="192" t="s">
        <v>95</v>
      </c>
      <c r="G121" s="193" t="s">
        <v>4</v>
      </c>
      <c r="H121" s="194" t="s">
        <v>3</v>
      </c>
      <c r="I121" s="195" t="s">
        <v>96</v>
      </c>
      <c r="J121" s="195" t="s">
        <v>150</v>
      </c>
      <c r="K121" s="1" t="s">
        <v>5</v>
      </c>
      <c r="L121" s="1" t="s">
        <v>6</v>
      </c>
      <c r="M121" s="1" t="s">
        <v>7</v>
      </c>
      <c r="N121" s="1" t="s">
        <v>8</v>
      </c>
      <c r="O121" s="35" t="s">
        <v>157</v>
      </c>
      <c r="P121" s="2" t="s">
        <v>9</v>
      </c>
      <c r="Q121" s="2" t="s">
        <v>10</v>
      </c>
      <c r="R121" s="2" t="s">
        <v>11</v>
      </c>
      <c r="S121" s="2" t="s">
        <v>12</v>
      </c>
      <c r="T121" s="35" t="s">
        <v>158</v>
      </c>
      <c r="U121" s="2" t="s">
        <v>13</v>
      </c>
      <c r="V121" s="2" t="s">
        <v>14</v>
      </c>
      <c r="W121" s="2" t="s">
        <v>15</v>
      </c>
      <c r="X121" s="2" t="s">
        <v>16</v>
      </c>
      <c r="Y121" s="35" t="s">
        <v>159</v>
      </c>
      <c r="Z121" s="196" t="s">
        <v>97</v>
      </c>
      <c r="AA121" s="196" t="s">
        <v>98</v>
      </c>
      <c r="AB121" s="197" t="s">
        <v>236</v>
      </c>
      <c r="AC121" s="196" t="s">
        <v>99</v>
      </c>
    </row>
    <row r="122" spans="1:30" ht="33" customHeight="1" x14ac:dyDescent="0.2">
      <c r="B122" s="470" t="s">
        <v>17</v>
      </c>
      <c r="C122" s="470"/>
      <c r="D122" s="470"/>
      <c r="E122" s="470"/>
      <c r="F122" s="470"/>
      <c r="G122" s="470"/>
      <c r="H122" s="470"/>
      <c r="I122" s="56">
        <f>+I123+I149+I170+I179+I200+I202</f>
        <v>6491</v>
      </c>
      <c r="J122" s="56">
        <v>5804</v>
      </c>
      <c r="K122" s="56">
        <f>+K123+K149+K170+K179+K200+K202</f>
        <v>45</v>
      </c>
      <c r="L122" s="56">
        <f>+L123+L149+L170+L179+L200+L202</f>
        <v>156</v>
      </c>
      <c r="M122" s="56">
        <f>+M123+M149+M170+M179+M200+M202</f>
        <v>270</v>
      </c>
      <c r="N122" s="56">
        <f>+N123+N149+N170+N179+N200+N202</f>
        <v>175</v>
      </c>
      <c r="O122" s="56">
        <f>+O123+O149+O170+O179</f>
        <v>646</v>
      </c>
      <c r="P122" s="56">
        <f>+P123+P149+P170+P179+P200+P202</f>
        <v>260</v>
      </c>
      <c r="Q122" s="56">
        <f>+Q123+Q149+Q170+Q179+Q200+Q202</f>
        <v>170</v>
      </c>
      <c r="R122" s="56">
        <f>+R123+R149+R170+R179+R200+R202</f>
        <v>116</v>
      </c>
      <c r="S122" s="56">
        <v>149</v>
      </c>
      <c r="T122" s="56">
        <f>+T123+T149+T170+T179+T200+T202</f>
        <v>695</v>
      </c>
      <c r="U122" s="56">
        <f>+U123+U149+U170+U179+U200</f>
        <v>0</v>
      </c>
      <c r="V122" s="56">
        <f>+V123+V149+V170+V179+V200+V202</f>
        <v>0</v>
      </c>
      <c r="W122" s="56">
        <f>+W123+W149+W170+W179+W200+W202</f>
        <v>0</v>
      </c>
      <c r="X122" s="56">
        <f>+X123+X149+X170+X179+X200+X202</f>
        <v>0</v>
      </c>
      <c r="Y122" s="56">
        <f>+Y123+Y149+Y170+Y179+Y200</f>
        <v>0</v>
      </c>
      <c r="Z122" s="56">
        <f>+Z123+Z149+Z170+Z179</f>
        <v>1341</v>
      </c>
      <c r="AA122" s="106">
        <f>SUM(Z122/J122)</f>
        <v>0.2310475534114404</v>
      </c>
      <c r="AB122" s="105">
        <v>50832946</v>
      </c>
      <c r="AC122" s="126" t="s">
        <v>413</v>
      </c>
    </row>
    <row r="123" spans="1:30" ht="73.5" customHeight="1" x14ac:dyDescent="0.2">
      <c r="B123" s="31">
        <v>1</v>
      </c>
      <c r="C123" s="364" t="s">
        <v>267</v>
      </c>
      <c r="D123" s="365"/>
      <c r="E123" s="366"/>
      <c r="F123" s="207"/>
      <c r="G123" s="208"/>
      <c r="H123" s="162" t="s">
        <v>51</v>
      </c>
      <c r="I123" s="161">
        <v>1312</v>
      </c>
      <c r="J123" s="274">
        <v>1192</v>
      </c>
      <c r="K123" s="161">
        <f>+K124+K130+K134+K139</f>
        <v>5</v>
      </c>
      <c r="L123" s="186">
        <f>+L124+L130+L134+L139</f>
        <v>90</v>
      </c>
      <c r="M123" s="260">
        <f>+M124+M130+M134+M139</f>
        <v>179</v>
      </c>
      <c r="N123" s="286">
        <f>+N124+N130+N134+N139</f>
        <v>89</v>
      </c>
      <c r="O123" s="69">
        <f>+K123+L123+M123+N123</f>
        <v>363</v>
      </c>
      <c r="P123" s="161">
        <v>140</v>
      </c>
      <c r="Q123" s="10">
        <f>+Q130+Q134+Q139</f>
        <v>39</v>
      </c>
      <c r="R123" s="161">
        <v>66</v>
      </c>
      <c r="S123" s="110">
        <f>+S130+S134+S139</f>
        <v>122</v>
      </c>
      <c r="T123" s="161">
        <f>SUM(P123:S123)</f>
        <v>367</v>
      </c>
      <c r="U123" s="161"/>
      <c r="V123" s="161"/>
      <c r="W123" s="110"/>
      <c r="X123" s="110"/>
      <c r="Y123" s="69">
        <f>SUM(U123:X123)</f>
        <v>0</v>
      </c>
      <c r="Z123" s="69">
        <f>SUM(O123+T123)</f>
        <v>730</v>
      </c>
      <c r="AA123" s="42">
        <f>SUM(Z123/J123)</f>
        <v>0.61241610738255037</v>
      </c>
      <c r="AB123" s="3">
        <v>17865894</v>
      </c>
      <c r="AC123" s="126" t="s">
        <v>433</v>
      </c>
      <c r="AD123" s="63">
        <f>83+73+55+0</f>
        <v>211</v>
      </c>
    </row>
    <row r="124" spans="1:30" ht="55.5" customHeight="1" x14ac:dyDescent="0.2">
      <c r="B124" s="49"/>
      <c r="C124" s="360"/>
      <c r="D124" s="361"/>
      <c r="E124" s="362"/>
      <c r="F124" s="66" t="s">
        <v>268</v>
      </c>
      <c r="G124" s="208"/>
      <c r="H124" s="162" t="s">
        <v>51</v>
      </c>
      <c r="I124" s="161">
        <v>390</v>
      </c>
      <c r="J124" s="313">
        <v>316</v>
      </c>
      <c r="K124" s="125" t="s">
        <v>211</v>
      </c>
      <c r="L124" s="125" t="s">
        <v>211</v>
      </c>
      <c r="M124" s="125" t="s">
        <v>211</v>
      </c>
      <c r="N124" s="125" t="s">
        <v>211</v>
      </c>
      <c r="O124" s="125" t="s">
        <v>211</v>
      </c>
      <c r="P124" s="161" t="s">
        <v>211</v>
      </c>
      <c r="Q124" s="125" t="s">
        <v>211</v>
      </c>
      <c r="R124" s="161" t="s">
        <v>211</v>
      </c>
      <c r="S124" s="110" t="s">
        <v>211</v>
      </c>
      <c r="T124" s="7" t="s">
        <v>211</v>
      </c>
      <c r="U124" s="110"/>
      <c r="V124" s="110"/>
      <c r="W124" s="110"/>
      <c r="X124" s="115"/>
      <c r="Y124" s="110"/>
      <c r="Z124" s="125" t="s">
        <v>211</v>
      </c>
      <c r="AA124" s="125" t="s">
        <v>211</v>
      </c>
      <c r="AB124" s="55"/>
      <c r="AC124" s="66"/>
      <c r="AD124" s="63">
        <f>4+32+5+0</f>
        <v>41</v>
      </c>
    </row>
    <row r="125" spans="1:30" ht="34.5" customHeight="1" x14ac:dyDescent="0.2">
      <c r="B125" s="49"/>
      <c r="C125" s="344"/>
      <c r="D125" s="344"/>
      <c r="E125" s="344"/>
      <c r="F125" s="173"/>
      <c r="G125" s="66" t="s">
        <v>192</v>
      </c>
      <c r="H125" s="19" t="s">
        <v>51</v>
      </c>
      <c r="I125" s="67">
        <v>100</v>
      </c>
      <c r="J125" s="320">
        <v>26</v>
      </c>
      <c r="K125" s="139" t="s">
        <v>211</v>
      </c>
      <c r="L125" s="139" t="s">
        <v>211</v>
      </c>
      <c r="M125" s="139" t="s">
        <v>211</v>
      </c>
      <c r="N125" s="139" t="s">
        <v>211</v>
      </c>
      <c r="O125" s="139" t="s">
        <v>211</v>
      </c>
      <c r="P125" s="58" t="s">
        <v>211</v>
      </c>
      <c r="Q125" s="139" t="s">
        <v>211</v>
      </c>
      <c r="R125" s="109" t="s">
        <v>211</v>
      </c>
      <c r="S125" s="139" t="s">
        <v>211</v>
      </c>
      <c r="T125" s="6" t="s">
        <v>211</v>
      </c>
      <c r="U125" s="109"/>
      <c r="V125" s="109"/>
      <c r="W125" s="109"/>
      <c r="X125" s="109"/>
      <c r="Y125" s="109"/>
      <c r="Z125" s="139" t="s">
        <v>211</v>
      </c>
      <c r="AA125" s="139" t="s">
        <v>211</v>
      </c>
      <c r="AB125" s="12"/>
      <c r="AC125" s="12"/>
    </row>
    <row r="126" spans="1:30" ht="68.25" customHeight="1" x14ac:dyDescent="0.2">
      <c r="B126" s="49"/>
      <c r="C126" s="332"/>
      <c r="D126" s="333"/>
      <c r="E126" s="334"/>
      <c r="F126" s="33"/>
      <c r="G126" s="66" t="s">
        <v>216</v>
      </c>
      <c r="H126" s="19" t="s">
        <v>51</v>
      </c>
      <c r="I126" s="67">
        <v>45</v>
      </c>
      <c r="J126" s="43">
        <v>45</v>
      </c>
      <c r="K126" s="139" t="s">
        <v>211</v>
      </c>
      <c r="L126" s="139" t="s">
        <v>211</v>
      </c>
      <c r="M126" s="139" t="s">
        <v>211</v>
      </c>
      <c r="N126" s="139" t="s">
        <v>211</v>
      </c>
      <c r="O126" s="139" t="s">
        <v>211</v>
      </c>
      <c r="P126" s="58" t="s">
        <v>211</v>
      </c>
      <c r="Q126" s="139" t="s">
        <v>211</v>
      </c>
      <c r="R126" s="109" t="s">
        <v>211</v>
      </c>
      <c r="S126" s="139" t="s">
        <v>211</v>
      </c>
      <c r="T126" s="6" t="s">
        <v>211</v>
      </c>
      <c r="U126" s="109"/>
      <c r="V126" s="109"/>
      <c r="W126" s="109"/>
      <c r="X126" s="109"/>
      <c r="Y126" s="109"/>
      <c r="Z126" s="139" t="s">
        <v>211</v>
      </c>
      <c r="AA126" s="139" t="s">
        <v>211</v>
      </c>
      <c r="AB126" s="12"/>
      <c r="AC126" s="12"/>
    </row>
    <row r="127" spans="1:30" ht="51" x14ac:dyDescent="0.2">
      <c r="B127" s="49"/>
      <c r="C127" s="360"/>
      <c r="D127" s="361"/>
      <c r="E127" s="362"/>
      <c r="F127" s="33"/>
      <c r="G127" s="66" t="s">
        <v>269</v>
      </c>
      <c r="H127" s="19" t="s">
        <v>51</v>
      </c>
      <c r="I127" s="67">
        <v>15</v>
      </c>
      <c r="J127" s="43">
        <v>15</v>
      </c>
      <c r="K127" s="139" t="s">
        <v>211</v>
      </c>
      <c r="L127" s="139" t="s">
        <v>211</v>
      </c>
      <c r="M127" s="139" t="s">
        <v>211</v>
      </c>
      <c r="N127" s="139" t="s">
        <v>211</v>
      </c>
      <c r="O127" s="139" t="s">
        <v>211</v>
      </c>
      <c r="P127" s="58" t="s">
        <v>211</v>
      </c>
      <c r="Q127" s="139" t="s">
        <v>211</v>
      </c>
      <c r="R127" s="109" t="s">
        <v>211</v>
      </c>
      <c r="S127" s="139" t="s">
        <v>211</v>
      </c>
      <c r="T127" s="6" t="s">
        <v>211</v>
      </c>
      <c r="U127" s="109"/>
      <c r="V127" s="109"/>
      <c r="W127" s="109"/>
      <c r="X127" s="109"/>
      <c r="Y127" s="109"/>
      <c r="Z127" s="139" t="s">
        <v>211</v>
      </c>
      <c r="AA127" s="139" t="s">
        <v>211</v>
      </c>
      <c r="AB127" s="12"/>
      <c r="AC127" s="12"/>
    </row>
    <row r="128" spans="1:30" ht="38.25" x14ac:dyDescent="0.2">
      <c r="B128" s="49"/>
      <c r="C128" s="167"/>
      <c r="D128" s="168"/>
      <c r="E128" s="169"/>
      <c r="F128" s="33"/>
      <c r="G128" s="66" t="s">
        <v>193</v>
      </c>
      <c r="H128" s="19" t="s">
        <v>51</v>
      </c>
      <c r="I128" s="67">
        <v>50</v>
      </c>
      <c r="J128" s="43">
        <v>50</v>
      </c>
      <c r="K128" s="139" t="s">
        <v>211</v>
      </c>
      <c r="L128" s="139" t="s">
        <v>211</v>
      </c>
      <c r="M128" s="139" t="s">
        <v>211</v>
      </c>
      <c r="N128" s="139" t="s">
        <v>211</v>
      </c>
      <c r="O128" s="139" t="s">
        <v>211</v>
      </c>
      <c r="P128" s="8" t="s">
        <v>211</v>
      </c>
      <c r="Q128" s="139" t="s">
        <v>211</v>
      </c>
      <c r="R128" s="109" t="s">
        <v>211</v>
      </c>
      <c r="S128" s="139" t="s">
        <v>211</v>
      </c>
      <c r="T128" s="6" t="s">
        <v>211</v>
      </c>
      <c r="U128" s="109"/>
      <c r="V128" s="109"/>
      <c r="W128" s="109"/>
      <c r="X128" s="109"/>
      <c r="Y128" s="109"/>
      <c r="Z128" s="139" t="s">
        <v>211</v>
      </c>
      <c r="AA128" s="139" t="s">
        <v>211</v>
      </c>
      <c r="AB128" s="12"/>
      <c r="AC128" s="12"/>
    </row>
    <row r="129" spans="2:29" ht="51" x14ac:dyDescent="0.2">
      <c r="B129" s="49"/>
      <c r="C129" s="167"/>
      <c r="D129" s="168"/>
      <c r="E129" s="169"/>
      <c r="F129" s="33"/>
      <c r="G129" s="66" t="s">
        <v>270</v>
      </c>
      <c r="H129" s="19" t="s">
        <v>51</v>
      </c>
      <c r="I129" s="83">
        <v>180</v>
      </c>
      <c r="J129" s="43">
        <v>180</v>
      </c>
      <c r="K129" s="139" t="s">
        <v>211</v>
      </c>
      <c r="L129" s="139" t="s">
        <v>211</v>
      </c>
      <c r="M129" s="139" t="s">
        <v>211</v>
      </c>
      <c r="N129" s="139" t="s">
        <v>211</v>
      </c>
      <c r="O129" s="139" t="s">
        <v>211</v>
      </c>
      <c r="P129" s="8" t="s">
        <v>211</v>
      </c>
      <c r="Q129" s="139" t="s">
        <v>211</v>
      </c>
      <c r="R129" s="8" t="s">
        <v>211</v>
      </c>
      <c r="S129" s="139" t="s">
        <v>211</v>
      </c>
      <c r="T129" s="6" t="s">
        <v>211</v>
      </c>
      <c r="U129" s="109"/>
      <c r="V129" s="109"/>
      <c r="W129" s="109"/>
      <c r="X129" s="109"/>
      <c r="Y129" s="109"/>
      <c r="Z129" s="139" t="s">
        <v>211</v>
      </c>
      <c r="AA129" s="139" t="s">
        <v>211</v>
      </c>
      <c r="AB129" s="12"/>
      <c r="AC129" s="12"/>
    </row>
    <row r="130" spans="2:29" ht="78" customHeight="1" x14ac:dyDescent="0.2">
      <c r="B130" s="49"/>
      <c r="C130" s="344"/>
      <c r="D130" s="344"/>
      <c r="E130" s="344"/>
      <c r="F130" s="66" t="s">
        <v>271</v>
      </c>
      <c r="G130" s="66"/>
      <c r="H130" s="162" t="s">
        <v>51</v>
      </c>
      <c r="I130" s="10">
        <v>255</v>
      </c>
      <c r="J130" s="247">
        <v>301</v>
      </c>
      <c r="K130" s="10">
        <v>5</v>
      </c>
      <c r="L130" s="10">
        <v>54</v>
      </c>
      <c r="M130" s="10">
        <v>111</v>
      </c>
      <c r="N130" s="10">
        <v>37</v>
      </c>
      <c r="O130" s="7">
        <f>SUM(K130:N130)</f>
        <v>207</v>
      </c>
      <c r="P130" s="10">
        <v>22</v>
      </c>
      <c r="Q130" s="297">
        <v>5</v>
      </c>
      <c r="R130" s="10">
        <v>14</v>
      </c>
      <c r="S130" s="110" t="s">
        <v>370</v>
      </c>
      <c r="T130" s="10">
        <f>22+5+14+6</f>
        <v>47</v>
      </c>
      <c r="U130" s="110"/>
      <c r="V130" s="110"/>
      <c r="W130" s="110"/>
      <c r="X130" s="110"/>
      <c r="Y130" s="110"/>
      <c r="Z130" s="10">
        <f>SUM(O130+T130)</f>
        <v>254</v>
      </c>
      <c r="AA130" s="42">
        <f t="shared" ref="AA130:AA143" si="30">SUM(Z130/J130)</f>
        <v>0.84385382059800662</v>
      </c>
      <c r="AB130" s="12"/>
      <c r="AC130" s="12"/>
    </row>
    <row r="131" spans="2:29" ht="84" customHeight="1" x14ac:dyDescent="0.2">
      <c r="B131" s="49"/>
      <c r="C131" s="360"/>
      <c r="D131" s="361"/>
      <c r="E131" s="362"/>
      <c r="F131" s="112"/>
      <c r="G131" s="66" t="s">
        <v>366</v>
      </c>
      <c r="H131" s="19" t="s">
        <v>51</v>
      </c>
      <c r="I131" s="67">
        <v>66</v>
      </c>
      <c r="J131" s="248">
        <v>102</v>
      </c>
      <c r="K131" s="14">
        <v>5</v>
      </c>
      <c r="L131" s="14">
        <v>7</v>
      </c>
      <c r="M131" s="14">
        <v>8</v>
      </c>
      <c r="N131" s="14">
        <v>24</v>
      </c>
      <c r="O131" s="6">
        <f>SUM(K131:N131)</f>
        <v>44</v>
      </c>
      <c r="P131" s="8">
        <v>22</v>
      </c>
      <c r="Q131" s="139" t="s">
        <v>211</v>
      </c>
      <c r="R131" s="8" t="s">
        <v>211</v>
      </c>
      <c r="S131" s="139" t="s">
        <v>211</v>
      </c>
      <c r="T131" s="6">
        <f t="shared" ref="T131:T133" si="31">SUM(P131+Q131+R131+S131)</f>
        <v>22</v>
      </c>
      <c r="U131" s="109"/>
      <c r="V131" s="109"/>
      <c r="W131" s="109"/>
      <c r="X131" s="109"/>
      <c r="Y131" s="109"/>
      <c r="Z131" s="6">
        <f>SUM(O131+T131)</f>
        <v>66</v>
      </c>
      <c r="AA131" s="70">
        <f t="shared" si="30"/>
        <v>0.6470588235294118</v>
      </c>
      <c r="AB131" s="12"/>
      <c r="AC131" s="12"/>
    </row>
    <row r="132" spans="2:29" ht="52.5" customHeight="1" x14ac:dyDescent="0.2">
      <c r="B132" s="49"/>
      <c r="C132" s="332"/>
      <c r="D132" s="333"/>
      <c r="E132" s="334"/>
      <c r="F132" s="14"/>
      <c r="G132" s="66" t="s">
        <v>183</v>
      </c>
      <c r="H132" s="19" t="s">
        <v>51</v>
      </c>
      <c r="I132" s="59">
        <v>179</v>
      </c>
      <c r="J132" s="248">
        <v>189</v>
      </c>
      <c r="K132" s="109" t="s">
        <v>211</v>
      </c>
      <c r="L132" s="14">
        <v>46</v>
      </c>
      <c r="M132" s="14">
        <v>103</v>
      </c>
      <c r="N132" s="14">
        <v>13</v>
      </c>
      <c r="O132" s="139" t="s">
        <v>389</v>
      </c>
      <c r="P132" s="139" t="s">
        <v>211</v>
      </c>
      <c r="Q132" s="8">
        <v>2</v>
      </c>
      <c r="R132" s="139">
        <v>12</v>
      </c>
      <c r="S132" s="8">
        <v>5</v>
      </c>
      <c r="T132" s="139">
        <f t="shared" si="31"/>
        <v>19</v>
      </c>
      <c r="U132" s="139"/>
      <c r="V132" s="139"/>
      <c r="W132" s="139"/>
      <c r="X132" s="139"/>
      <c r="Y132" s="139"/>
      <c r="Z132" s="139">
        <f t="shared" ref="Z132:Z139" si="32">SUM(O132+T132)</f>
        <v>181</v>
      </c>
      <c r="AA132" s="70">
        <f t="shared" si="30"/>
        <v>0.95767195767195767</v>
      </c>
      <c r="AB132" s="12"/>
      <c r="AC132" s="12"/>
    </row>
    <row r="133" spans="2:29" ht="76.5" x14ac:dyDescent="0.2">
      <c r="B133" s="49"/>
      <c r="C133" s="164"/>
      <c r="D133" s="165"/>
      <c r="E133" s="166"/>
      <c r="F133" s="14"/>
      <c r="G133" s="66" t="s">
        <v>272</v>
      </c>
      <c r="H133" s="19" t="s">
        <v>51</v>
      </c>
      <c r="I133" s="59">
        <v>10</v>
      </c>
      <c r="J133" s="67">
        <v>10</v>
      </c>
      <c r="K133" s="109" t="s">
        <v>211</v>
      </c>
      <c r="L133" s="14">
        <v>1</v>
      </c>
      <c r="M133" s="109" t="s">
        <v>211</v>
      </c>
      <c r="N133" s="109" t="s">
        <v>211</v>
      </c>
      <c r="O133" s="139" t="s">
        <v>353</v>
      </c>
      <c r="P133" s="139" t="s">
        <v>211</v>
      </c>
      <c r="Q133" s="8">
        <v>3</v>
      </c>
      <c r="R133" s="139">
        <v>2</v>
      </c>
      <c r="S133" s="8">
        <v>1</v>
      </c>
      <c r="T133" s="139">
        <f t="shared" si="31"/>
        <v>6</v>
      </c>
      <c r="U133" s="139"/>
      <c r="V133" s="139"/>
      <c r="W133" s="139"/>
      <c r="X133" s="139"/>
      <c r="Y133" s="139"/>
      <c r="Z133" s="139">
        <f t="shared" si="32"/>
        <v>7</v>
      </c>
      <c r="AA133" s="70">
        <f t="shared" si="30"/>
        <v>0.7</v>
      </c>
      <c r="AB133" s="12"/>
      <c r="AC133" s="12"/>
    </row>
    <row r="134" spans="2:29" ht="100.5" customHeight="1" x14ac:dyDescent="0.2">
      <c r="B134" s="49"/>
      <c r="C134" s="164"/>
      <c r="D134" s="165"/>
      <c r="E134" s="166"/>
      <c r="F134" s="66" t="s">
        <v>273</v>
      </c>
      <c r="G134" s="51"/>
      <c r="H134" s="13" t="s">
        <v>51</v>
      </c>
      <c r="I134" s="10">
        <v>297</v>
      </c>
      <c r="J134" s="311">
        <v>300</v>
      </c>
      <c r="K134" s="125" t="s">
        <v>211</v>
      </c>
      <c r="L134" s="31">
        <v>20</v>
      </c>
      <c r="M134" s="31">
        <v>32</v>
      </c>
      <c r="N134" s="31">
        <v>48</v>
      </c>
      <c r="O134" s="288">
        <v>100</v>
      </c>
      <c r="P134" s="110">
        <v>73</v>
      </c>
      <c r="Q134" s="297">
        <v>30</v>
      </c>
      <c r="R134" s="10">
        <v>33</v>
      </c>
      <c r="S134" s="10">
        <v>32</v>
      </c>
      <c r="T134" s="10">
        <f>P134+Q134+R134+S134</f>
        <v>168</v>
      </c>
      <c r="U134" s="110"/>
      <c r="V134" s="110"/>
      <c r="W134" s="110"/>
      <c r="X134" s="110"/>
      <c r="Y134" s="110"/>
      <c r="Z134" s="10">
        <f>SUM(O134+T134)</f>
        <v>268</v>
      </c>
      <c r="AA134" s="42">
        <f t="shared" ref="AA134" si="33">SUM(Z134/J134)</f>
        <v>0.89333333333333331</v>
      </c>
      <c r="AB134" s="12"/>
      <c r="AC134" s="12">
        <v>0</v>
      </c>
    </row>
    <row r="135" spans="2:29" ht="63.75" outlineLevel="1" x14ac:dyDescent="0.2">
      <c r="B135" s="49"/>
      <c r="C135" s="164"/>
      <c r="D135" s="165"/>
      <c r="E135" s="166"/>
      <c r="F135" s="66"/>
      <c r="G135" s="66" t="s">
        <v>194</v>
      </c>
      <c r="H135" s="154" t="s">
        <v>51</v>
      </c>
      <c r="I135" s="83">
        <v>20</v>
      </c>
      <c r="J135" s="83">
        <v>20</v>
      </c>
      <c r="K135" s="109" t="s">
        <v>211</v>
      </c>
      <c r="L135" s="109" t="s">
        <v>211</v>
      </c>
      <c r="M135" s="14">
        <v>1</v>
      </c>
      <c r="N135" s="14">
        <v>4</v>
      </c>
      <c r="O135" s="109" t="s">
        <v>360</v>
      </c>
      <c r="P135" s="109" t="s">
        <v>211</v>
      </c>
      <c r="Q135" s="43">
        <v>15</v>
      </c>
      <c r="R135" s="139" t="s">
        <v>211</v>
      </c>
      <c r="S135" s="139" t="s">
        <v>211</v>
      </c>
      <c r="T135" s="109">
        <f t="shared" ref="T135:T143" si="34">SUM(P135+Q135+R135+S135)</f>
        <v>15</v>
      </c>
      <c r="U135" s="109"/>
      <c r="V135" s="109"/>
      <c r="W135" s="109"/>
      <c r="X135" s="109"/>
      <c r="Y135" s="109"/>
      <c r="Z135" s="109">
        <f t="shared" si="32"/>
        <v>20</v>
      </c>
      <c r="AA135" s="273">
        <f t="shared" si="30"/>
        <v>1</v>
      </c>
      <c r="AB135" s="12"/>
      <c r="AC135" s="12"/>
    </row>
    <row r="136" spans="2:29" ht="38.25" outlineLevel="1" x14ac:dyDescent="0.2">
      <c r="B136" s="49"/>
      <c r="C136" s="164"/>
      <c r="D136" s="165"/>
      <c r="E136" s="166"/>
      <c r="F136" s="66"/>
      <c r="G136" s="66" t="s">
        <v>195</v>
      </c>
      <c r="H136" s="19" t="s">
        <v>51</v>
      </c>
      <c r="I136" s="67">
        <v>120</v>
      </c>
      <c r="J136" s="83">
        <v>120</v>
      </c>
      <c r="K136" s="109" t="s">
        <v>211</v>
      </c>
      <c r="L136" s="14">
        <v>20</v>
      </c>
      <c r="M136" s="14">
        <v>7</v>
      </c>
      <c r="N136" s="14">
        <v>27</v>
      </c>
      <c r="O136" s="109" t="s">
        <v>386</v>
      </c>
      <c r="P136" s="109">
        <v>66</v>
      </c>
      <c r="Q136" s="139" t="s">
        <v>211</v>
      </c>
      <c r="R136" s="139" t="s">
        <v>211</v>
      </c>
      <c r="S136" s="139" t="s">
        <v>211</v>
      </c>
      <c r="T136" s="109">
        <f t="shared" si="34"/>
        <v>66</v>
      </c>
      <c r="U136" s="109"/>
      <c r="V136" s="109"/>
      <c r="W136" s="109"/>
      <c r="X136" s="109"/>
      <c r="Y136" s="109"/>
      <c r="Z136" s="109">
        <f t="shared" si="32"/>
        <v>120</v>
      </c>
      <c r="AA136" s="273">
        <f t="shared" si="30"/>
        <v>1</v>
      </c>
      <c r="AB136" s="12"/>
      <c r="AC136" s="12"/>
    </row>
    <row r="137" spans="2:29" ht="76.5" outlineLevel="1" x14ac:dyDescent="0.2">
      <c r="B137" s="49"/>
      <c r="C137" s="332"/>
      <c r="D137" s="333"/>
      <c r="E137" s="334"/>
      <c r="F137" s="66"/>
      <c r="G137" s="66" t="s">
        <v>367</v>
      </c>
      <c r="H137" s="19" t="s">
        <v>51</v>
      </c>
      <c r="I137" s="67">
        <v>75</v>
      </c>
      <c r="J137" s="312">
        <v>78</v>
      </c>
      <c r="K137" s="109" t="s">
        <v>211</v>
      </c>
      <c r="L137" s="109" t="s">
        <v>211</v>
      </c>
      <c r="M137" s="14">
        <v>10</v>
      </c>
      <c r="N137" s="14">
        <v>7</v>
      </c>
      <c r="O137" s="109" t="s">
        <v>387</v>
      </c>
      <c r="P137" s="109" t="s">
        <v>211</v>
      </c>
      <c r="Q137" s="43">
        <v>10</v>
      </c>
      <c r="R137" s="67">
        <v>25</v>
      </c>
      <c r="S137" s="67">
        <v>23</v>
      </c>
      <c r="T137" s="109">
        <f t="shared" si="34"/>
        <v>58</v>
      </c>
      <c r="U137" s="109"/>
      <c r="V137" s="109"/>
      <c r="W137" s="109"/>
      <c r="X137" s="109"/>
      <c r="Y137" s="109"/>
      <c r="Z137" s="109">
        <f t="shared" si="32"/>
        <v>75</v>
      </c>
      <c r="AA137" s="70">
        <f t="shared" si="30"/>
        <v>0.96153846153846156</v>
      </c>
      <c r="AB137" s="12"/>
      <c r="AC137" s="12"/>
    </row>
    <row r="138" spans="2:29" ht="51" outlineLevel="1" x14ac:dyDescent="0.2">
      <c r="B138" s="49"/>
      <c r="C138" s="164"/>
      <c r="D138" s="165"/>
      <c r="E138" s="166"/>
      <c r="F138" s="66"/>
      <c r="G138" s="66" t="s">
        <v>377</v>
      </c>
      <c r="H138" s="19" t="s">
        <v>51</v>
      </c>
      <c r="I138" s="67">
        <v>82</v>
      </c>
      <c r="J138" s="83">
        <v>82</v>
      </c>
      <c r="K138" s="109" t="s">
        <v>211</v>
      </c>
      <c r="L138" s="109" t="s">
        <v>211</v>
      </c>
      <c r="M138" s="14">
        <v>14</v>
      </c>
      <c r="N138" s="6">
        <v>10</v>
      </c>
      <c r="O138" s="139" t="s">
        <v>390</v>
      </c>
      <c r="P138" s="139">
        <v>7</v>
      </c>
      <c r="Q138" s="43">
        <v>5</v>
      </c>
      <c r="R138" s="67">
        <v>8</v>
      </c>
      <c r="S138" s="67">
        <v>9</v>
      </c>
      <c r="T138" s="139">
        <f t="shared" si="34"/>
        <v>29</v>
      </c>
      <c r="U138" s="139"/>
      <c r="V138" s="139"/>
      <c r="W138" s="139"/>
      <c r="X138" s="139"/>
      <c r="Y138" s="139"/>
      <c r="Z138" s="139">
        <f t="shared" si="32"/>
        <v>53</v>
      </c>
      <c r="AA138" s="70">
        <f t="shared" si="30"/>
        <v>0.64634146341463417</v>
      </c>
      <c r="AB138" s="12"/>
      <c r="AC138" s="12"/>
    </row>
    <row r="139" spans="2:29" ht="66.75" customHeight="1" x14ac:dyDescent="0.2">
      <c r="B139" s="49"/>
      <c r="C139" s="164"/>
      <c r="D139" s="165"/>
      <c r="E139" s="166"/>
      <c r="F139" s="66" t="s">
        <v>274</v>
      </c>
      <c r="G139" s="66"/>
      <c r="H139" s="162" t="s">
        <v>51</v>
      </c>
      <c r="I139" s="67">
        <v>370</v>
      </c>
      <c r="J139" s="263">
        <v>275</v>
      </c>
      <c r="K139" s="125" t="s">
        <v>211</v>
      </c>
      <c r="L139" s="10">
        <v>16</v>
      </c>
      <c r="M139" s="31">
        <v>36</v>
      </c>
      <c r="N139" s="6">
        <v>4</v>
      </c>
      <c r="O139" s="110" t="s">
        <v>391</v>
      </c>
      <c r="P139" s="110">
        <v>45</v>
      </c>
      <c r="Q139" s="297">
        <v>4</v>
      </c>
      <c r="R139" s="10">
        <v>19</v>
      </c>
      <c r="S139" s="110" t="s">
        <v>420</v>
      </c>
      <c r="T139" s="110">
        <f t="shared" si="34"/>
        <v>152</v>
      </c>
      <c r="U139" s="110"/>
      <c r="V139" s="110"/>
      <c r="W139" s="110"/>
      <c r="X139" s="110"/>
      <c r="Y139" s="110"/>
      <c r="Z139" s="110">
        <f t="shared" si="32"/>
        <v>208</v>
      </c>
      <c r="AA139" s="42">
        <f t="shared" si="30"/>
        <v>0.75636363636363635</v>
      </c>
      <c r="AB139" s="12"/>
      <c r="AC139" s="12"/>
    </row>
    <row r="140" spans="2:29" ht="89.25" outlineLevel="1" x14ac:dyDescent="0.2">
      <c r="B140" s="49"/>
      <c r="C140" s="164"/>
      <c r="D140" s="165"/>
      <c r="E140" s="166"/>
      <c r="F140" s="66"/>
      <c r="G140" s="66" t="s">
        <v>368</v>
      </c>
      <c r="H140" s="19" t="s">
        <v>51</v>
      </c>
      <c r="I140" s="67">
        <v>40</v>
      </c>
      <c r="J140" s="265">
        <v>26</v>
      </c>
      <c r="K140" s="109" t="s">
        <v>211</v>
      </c>
      <c r="L140" s="67">
        <v>2</v>
      </c>
      <c r="M140" s="109" t="s">
        <v>211</v>
      </c>
      <c r="N140" s="14">
        <v>4</v>
      </c>
      <c r="O140" s="109" t="s">
        <v>370</v>
      </c>
      <c r="P140" s="109">
        <v>6</v>
      </c>
      <c r="Q140" s="43">
        <v>2</v>
      </c>
      <c r="R140" s="67">
        <v>5</v>
      </c>
      <c r="S140" s="67">
        <v>6</v>
      </c>
      <c r="T140" s="109">
        <f t="shared" si="34"/>
        <v>19</v>
      </c>
      <c r="U140" s="109" t="s">
        <v>211</v>
      </c>
      <c r="V140" s="109" t="s">
        <v>211</v>
      </c>
      <c r="W140" s="109" t="s">
        <v>211</v>
      </c>
      <c r="X140" s="109" t="s">
        <v>211</v>
      </c>
      <c r="Y140" s="109" t="s">
        <v>211</v>
      </c>
      <c r="Z140" s="109">
        <f>SUM(O140+T140)</f>
        <v>25</v>
      </c>
      <c r="AA140" s="70">
        <f t="shared" si="30"/>
        <v>0.96153846153846156</v>
      </c>
      <c r="AB140" s="12"/>
      <c r="AC140" s="12"/>
    </row>
    <row r="141" spans="2:29" ht="38.25" outlineLevel="1" x14ac:dyDescent="0.2">
      <c r="B141" s="49"/>
      <c r="C141" s="164"/>
      <c r="D141" s="165"/>
      <c r="E141" s="166"/>
      <c r="F141" s="61"/>
      <c r="G141" s="66" t="s">
        <v>369</v>
      </c>
      <c r="H141" s="19" t="s">
        <v>51</v>
      </c>
      <c r="I141" s="67">
        <v>120</v>
      </c>
      <c r="J141" s="265">
        <v>102</v>
      </c>
      <c r="K141" s="109" t="s">
        <v>211</v>
      </c>
      <c r="L141" s="109" t="s">
        <v>211</v>
      </c>
      <c r="M141" s="109" t="s">
        <v>211</v>
      </c>
      <c r="N141" s="109" t="s">
        <v>211</v>
      </c>
      <c r="O141" s="109" t="s">
        <v>211</v>
      </c>
      <c r="P141" s="109">
        <v>27</v>
      </c>
      <c r="Q141" s="109" t="s">
        <v>211</v>
      </c>
      <c r="R141" s="67">
        <v>9</v>
      </c>
      <c r="S141" s="109" t="s">
        <v>211</v>
      </c>
      <c r="T141" s="109">
        <f t="shared" si="34"/>
        <v>36</v>
      </c>
      <c r="U141" s="109" t="s">
        <v>211</v>
      </c>
      <c r="V141" s="109" t="s">
        <v>211</v>
      </c>
      <c r="W141" s="109" t="s">
        <v>211</v>
      </c>
      <c r="X141" s="109" t="s">
        <v>211</v>
      </c>
      <c r="Y141" s="109" t="s">
        <v>211</v>
      </c>
      <c r="Z141" s="109">
        <f>SUM(O141+T141)</f>
        <v>36</v>
      </c>
      <c r="AA141" s="70">
        <f t="shared" si="30"/>
        <v>0.35294117647058826</v>
      </c>
      <c r="AB141" s="12"/>
      <c r="AC141" s="12"/>
    </row>
    <row r="142" spans="2:29" ht="65.25" customHeight="1" outlineLevel="1" x14ac:dyDescent="0.2">
      <c r="B142" s="49"/>
      <c r="C142" s="332"/>
      <c r="D142" s="333"/>
      <c r="E142" s="334"/>
      <c r="F142" s="66"/>
      <c r="G142" s="66" t="s">
        <v>275</v>
      </c>
      <c r="H142" s="19" t="s">
        <v>51</v>
      </c>
      <c r="I142" s="67">
        <v>200</v>
      </c>
      <c r="J142" s="275">
        <v>140</v>
      </c>
      <c r="K142" s="109" t="s">
        <v>211</v>
      </c>
      <c r="L142" s="14">
        <v>12</v>
      </c>
      <c r="M142" s="14">
        <v>33</v>
      </c>
      <c r="N142" s="109" t="s">
        <v>211</v>
      </c>
      <c r="O142" s="109" t="s">
        <v>373</v>
      </c>
      <c r="P142" s="109">
        <v>10</v>
      </c>
      <c r="Q142" s="43">
        <v>2</v>
      </c>
      <c r="R142" s="67">
        <v>5</v>
      </c>
      <c r="S142" s="67">
        <v>78</v>
      </c>
      <c r="T142" s="109">
        <f t="shared" si="34"/>
        <v>95</v>
      </c>
      <c r="U142" s="109"/>
      <c r="V142" s="109"/>
      <c r="W142" s="109"/>
      <c r="X142" s="109"/>
      <c r="Y142" s="109"/>
      <c r="Z142" s="109">
        <f>SUM(O142+T142)</f>
        <v>140</v>
      </c>
      <c r="AA142" s="273">
        <f t="shared" si="30"/>
        <v>1</v>
      </c>
      <c r="AB142" s="55"/>
      <c r="AC142" s="55"/>
    </row>
    <row r="143" spans="2:29" ht="81.75" customHeight="1" outlineLevel="1" x14ac:dyDescent="0.2">
      <c r="B143" s="49"/>
      <c r="C143" s="344"/>
      <c r="D143" s="344"/>
      <c r="E143" s="344"/>
      <c r="F143" s="66"/>
      <c r="G143" s="66" t="s">
        <v>196</v>
      </c>
      <c r="H143" s="19" t="s">
        <v>51</v>
      </c>
      <c r="I143" s="67">
        <v>10</v>
      </c>
      <c r="J143" s="265">
        <v>7</v>
      </c>
      <c r="K143" s="109" t="s">
        <v>211</v>
      </c>
      <c r="L143" s="14">
        <v>2</v>
      </c>
      <c r="M143" s="14">
        <v>3</v>
      </c>
      <c r="N143" s="109" t="s">
        <v>211</v>
      </c>
      <c r="O143" s="109" t="s">
        <v>360</v>
      </c>
      <c r="P143" s="109">
        <v>2</v>
      </c>
      <c r="Q143" s="109" t="s">
        <v>211</v>
      </c>
      <c r="R143" s="109" t="s">
        <v>211</v>
      </c>
      <c r="S143" s="109" t="s">
        <v>211</v>
      </c>
      <c r="T143" s="109">
        <f t="shared" si="34"/>
        <v>2</v>
      </c>
      <c r="U143" s="109" t="s">
        <v>211</v>
      </c>
      <c r="V143" s="109" t="s">
        <v>211</v>
      </c>
      <c r="W143" s="109" t="s">
        <v>211</v>
      </c>
      <c r="X143" s="109" t="s">
        <v>211</v>
      </c>
      <c r="Y143" s="109" t="s">
        <v>211</v>
      </c>
      <c r="Z143" s="109" t="s">
        <v>400</v>
      </c>
      <c r="AA143" s="273">
        <f t="shared" si="30"/>
        <v>1</v>
      </c>
      <c r="AB143" s="55"/>
      <c r="AC143" s="55"/>
    </row>
    <row r="144" spans="2:29" s="188" customFormat="1" ht="17.25" customHeight="1" x14ac:dyDescent="0.2">
      <c r="B144" s="351" t="s">
        <v>112</v>
      </c>
      <c r="C144" s="352"/>
      <c r="D144" s="352"/>
      <c r="E144" s="352"/>
      <c r="F144" s="352"/>
      <c r="G144" s="352"/>
      <c r="H144" s="352"/>
      <c r="I144" s="352"/>
      <c r="J144" s="352"/>
      <c r="K144" s="352"/>
      <c r="L144" s="352"/>
      <c r="M144" s="352"/>
      <c r="N144" s="352"/>
      <c r="O144" s="352"/>
      <c r="P144" s="352"/>
      <c r="Q144" s="352"/>
      <c r="R144" s="352"/>
      <c r="S144" s="352"/>
      <c r="T144" s="352"/>
      <c r="U144" s="352"/>
      <c r="V144" s="352"/>
      <c r="W144" s="352"/>
      <c r="X144" s="352"/>
      <c r="Y144" s="352"/>
      <c r="Z144" s="352"/>
      <c r="AA144" s="352"/>
      <c r="AB144" s="352"/>
      <c r="AC144" s="225"/>
    </row>
    <row r="145" spans="2:30" s="188" customFormat="1" ht="18" customHeight="1" x14ac:dyDescent="0.2">
      <c r="B145" s="349" t="s">
        <v>102</v>
      </c>
      <c r="C145" s="349"/>
      <c r="D145" s="349"/>
      <c r="E145" s="349"/>
      <c r="F145" s="353" t="s">
        <v>113</v>
      </c>
      <c r="G145" s="354"/>
      <c r="H145" s="354"/>
      <c r="I145" s="354"/>
      <c r="J145" s="354"/>
      <c r="K145" s="354"/>
      <c r="L145" s="354"/>
      <c r="M145" s="354"/>
      <c r="N145" s="354"/>
      <c r="O145" s="354"/>
      <c r="P145" s="354"/>
      <c r="Q145" s="354"/>
      <c r="R145" s="354"/>
      <c r="S145" s="354"/>
      <c r="T145" s="354"/>
      <c r="U145" s="354"/>
      <c r="V145" s="354"/>
      <c r="W145" s="354"/>
      <c r="X145" s="354"/>
      <c r="Y145" s="354"/>
      <c r="Z145" s="354"/>
      <c r="AA145" s="354"/>
      <c r="AB145" s="354"/>
      <c r="AC145" s="355"/>
    </row>
    <row r="146" spans="2:30" s="188" customFormat="1" ht="17.25" customHeight="1" x14ac:dyDescent="0.2">
      <c r="B146" s="368" t="s">
        <v>103</v>
      </c>
      <c r="C146" s="368"/>
      <c r="D146" s="368"/>
      <c r="E146" s="368"/>
      <c r="F146" s="353" t="s">
        <v>114</v>
      </c>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5"/>
    </row>
    <row r="147" spans="2:30" ht="21" customHeight="1" x14ac:dyDescent="0.2">
      <c r="B147" s="90"/>
      <c r="C147" s="345" t="s">
        <v>235</v>
      </c>
      <c r="D147" s="346"/>
      <c r="E147" s="346"/>
      <c r="F147" s="346"/>
      <c r="G147" s="346"/>
      <c r="H147" s="346"/>
      <c r="I147" s="346"/>
      <c r="J147" s="346"/>
      <c r="K147" s="346"/>
      <c r="L147" s="346"/>
      <c r="M147" s="346"/>
      <c r="N147" s="346"/>
      <c r="O147" s="346"/>
      <c r="P147" s="346"/>
      <c r="Q147" s="346"/>
      <c r="R147" s="346"/>
      <c r="S147" s="346"/>
      <c r="T147" s="346"/>
      <c r="U147" s="346"/>
      <c r="V147" s="346"/>
      <c r="W147" s="346"/>
      <c r="X147" s="346"/>
      <c r="Y147" s="346"/>
      <c r="Z147" s="346"/>
      <c r="AA147" s="346"/>
      <c r="AB147" s="346"/>
      <c r="AC147" s="347"/>
    </row>
    <row r="148" spans="2:30" ht="56.25" customHeight="1" x14ac:dyDescent="0.2">
      <c r="B148" s="191" t="s">
        <v>139</v>
      </c>
      <c r="C148" s="379" t="s">
        <v>94</v>
      </c>
      <c r="D148" s="380"/>
      <c r="E148" s="381"/>
      <c r="F148" s="192" t="s">
        <v>95</v>
      </c>
      <c r="G148" s="193" t="s">
        <v>4</v>
      </c>
      <c r="H148" s="194" t="s">
        <v>3</v>
      </c>
      <c r="I148" s="195" t="s">
        <v>96</v>
      </c>
      <c r="J148" s="195" t="s">
        <v>150</v>
      </c>
      <c r="K148" s="1" t="s">
        <v>5</v>
      </c>
      <c r="L148" s="1" t="s">
        <v>6</v>
      </c>
      <c r="M148" s="1" t="s">
        <v>7</v>
      </c>
      <c r="N148" s="1" t="s">
        <v>8</v>
      </c>
      <c r="O148" s="35" t="s">
        <v>157</v>
      </c>
      <c r="P148" s="2" t="s">
        <v>9</v>
      </c>
      <c r="Q148" s="2" t="s">
        <v>10</v>
      </c>
      <c r="R148" s="2" t="s">
        <v>11</v>
      </c>
      <c r="S148" s="2" t="s">
        <v>12</v>
      </c>
      <c r="T148" s="35" t="s">
        <v>158</v>
      </c>
      <c r="U148" s="2" t="s">
        <v>13</v>
      </c>
      <c r="V148" s="2" t="s">
        <v>14</v>
      </c>
      <c r="W148" s="2" t="s">
        <v>15</v>
      </c>
      <c r="X148" s="2" t="s">
        <v>16</v>
      </c>
      <c r="Y148" s="35" t="s">
        <v>159</v>
      </c>
      <c r="Z148" s="196" t="s">
        <v>97</v>
      </c>
      <c r="AA148" s="196" t="s">
        <v>98</v>
      </c>
      <c r="AB148" s="197" t="s">
        <v>248</v>
      </c>
      <c r="AC148" s="196" t="s">
        <v>99</v>
      </c>
    </row>
    <row r="149" spans="2:30" ht="94.5" customHeight="1" x14ac:dyDescent="0.2">
      <c r="B149" s="31">
        <v>2</v>
      </c>
      <c r="C149" s="364" t="s">
        <v>276</v>
      </c>
      <c r="D149" s="365"/>
      <c r="E149" s="366"/>
      <c r="F149" s="49"/>
      <c r="G149" s="208"/>
      <c r="H149" s="162" t="s">
        <v>25</v>
      </c>
      <c r="I149" s="5">
        <v>435</v>
      </c>
      <c r="J149" s="249">
        <v>393</v>
      </c>
      <c r="K149" s="114">
        <f t="shared" ref="K149:Q149" si="35">+K150+K151+K152</f>
        <v>14</v>
      </c>
      <c r="L149" s="5">
        <f t="shared" si="35"/>
        <v>48</v>
      </c>
      <c r="M149" s="114">
        <f t="shared" si="35"/>
        <v>57</v>
      </c>
      <c r="N149" s="5">
        <f t="shared" si="35"/>
        <v>52</v>
      </c>
      <c r="O149" s="5">
        <f t="shared" si="35"/>
        <v>171</v>
      </c>
      <c r="P149" s="5">
        <f t="shared" si="35"/>
        <v>63</v>
      </c>
      <c r="Q149" s="114">
        <f t="shared" si="35"/>
        <v>100</v>
      </c>
      <c r="R149" s="5">
        <f>+R150+R151+R152</f>
        <v>25</v>
      </c>
      <c r="S149" s="115" t="s">
        <v>360</v>
      </c>
      <c r="T149" s="7">
        <f t="shared" ref="T149" si="36">+T150+T151+T152</f>
        <v>193</v>
      </c>
      <c r="U149" s="5"/>
      <c r="V149" s="114"/>
      <c r="W149" s="115"/>
      <c r="X149" s="115"/>
      <c r="Y149" s="7"/>
      <c r="Z149" s="7">
        <f>SUM(O149+T149)</f>
        <v>364</v>
      </c>
      <c r="AA149" s="42">
        <f t="shared" ref="AA149:AA164" si="37">SUM(Z149/J149)</f>
        <v>0.92620865139949105</v>
      </c>
      <c r="AB149" s="3">
        <v>12080438</v>
      </c>
      <c r="AC149" s="126" t="s">
        <v>431</v>
      </c>
      <c r="AD149" s="63">
        <f>31+31+31+31</f>
        <v>124</v>
      </c>
    </row>
    <row r="150" spans="2:30" ht="63.75" outlineLevel="1" x14ac:dyDescent="0.2">
      <c r="B150" s="40"/>
      <c r="C150" s="332"/>
      <c r="D150" s="333"/>
      <c r="E150" s="334"/>
      <c r="F150" s="66" t="s">
        <v>277</v>
      </c>
      <c r="G150" s="208"/>
      <c r="H150" s="162" t="s">
        <v>25</v>
      </c>
      <c r="I150" s="5">
        <v>25</v>
      </c>
      <c r="J150" s="249">
        <v>24</v>
      </c>
      <c r="K150" s="5">
        <v>6</v>
      </c>
      <c r="L150" s="5">
        <v>1</v>
      </c>
      <c r="M150" s="5">
        <v>4</v>
      </c>
      <c r="N150" s="125" t="s">
        <v>211</v>
      </c>
      <c r="O150" s="7">
        <f>SUM(K150:N150)</f>
        <v>11</v>
      </c>
      <c r="P150" s="7">
        <v>6</v>
      </c>
      <c r="Q150" s="5">
        <v>3</v>
      </c>
      <c r="R150" s="5">
        <v>2</v>
      </c>
      <c r="S150" s="115" t="s">
        <v>211</v>
      </c>
      <c r="T150" s="7">
        <f t="shared" ref="T150:T164" si="38">SUM(P150+Q150+R150+S150)</f>
        <v>11</v>
      </c>
      <c r="U150" s="5"/>
      <c r="V150" s="115"/>
      <c r="W150" s="115"/>
      <c r="X150" s="115"/>
      <c r="Y150" s="7">
        <f>SUM(U150:X150)</f>
        <v>0</v>
      </c>
      <c r="Z150" s="7">
        <f>SUM(O150+T150+Y150)</f>
        <v>22</v>
      </c>
      <c r="AA150" s="42">
        <f t="shared" si="37"/>
        <v>0.91666666666666663</v>
      </c>
      <c r="AB150" s="3"/>
      <c r="AC150" s="55"/>
      <c r="AD150" s="63">
        <v>0</v>
      </c>
    </row>
    <row r="151" spans="2:30" ht="54.75" customHeight="1" outlineLevel="1" x14ac:dyDescent="0.2">
      <c r="B151" s="49"/>
      <c r="C151" s="332"/>
      <c r="D151" s="333"/>
      <c r="E151" s="334"/>
      <c r="F151" s="66" t="s">
        <v>278</v>
      </c>
      <c r="G151" s="208"/>
      <c r="H151" s="162" t="s">
        <v>25</v>
      </c>
      <c r="I151" s="5">
        <v>350</v>
      </c>
      <c r="J151" s="249">
        <v>309</v>
      </c>
      <c r="K151" s="5">
        <v>8</v>
      </c>
      <c r="L151" s="5">
        <v>32</v>
      </c>
      <c r="M151" s="5">
        <v>53</v>
      </c>
      <c r="N151" s="5">
        <v>48</v>
      </c>
      <c r="O151" s="7">
        <f>SUM(K151:N151)</f>
        <v>141</v>
      </c>
      <c r="P151" s="7">
        <v>50</v>
      </c>
      <c r="Q151" s="5">
        <v>97</v>
      </c>
      <c r="R151" s="5">
        <v>21</v>
      </c>
      <c r="S151" s="115" t="s">
        <v>211</v>
      </c>
      <c r="T151" s="7">
        <f t="shared" si="38"/>
        <v>168</v>
      </c>
      <c r="U151" s="5"/>
      <c r="V151" s="115"/>
      <c r="W151" s="115"/>
      <c r="X151" s="115"/>
      <c r="Y151" s="7">
        <f>SUM(U151:X151)</f>
        <v>0</v>
      </c>
      <c r="Z151" s="7">
        <f>SUM(O151+T151+Y151)</f>
        <v>309</v>
      </c>
      <c r="AA151" s="305">
        <f t="shared" si="37"/>
        <v>1</v>
      </c>
      <c r="AB151" s="3"/>
      <c r="AC151" s="55"/>
      <c r="AD151" s="63">
        <f>21+21+21+21</f>
        <v>84</v>
      </c>
    </row>
    <row r="152" spans="2:30" ht="64.5" customHeight="1" outlineLevel="1" x14ac:dyDescent="0.2">
      <c r="B152" s="40"/>
      <c r="C152" s="332"/>
      <c r="D152" s="333"/>
      <c r="E152" s="334"/>
      <c r="F152" s="66" t="s">
        <v>279</v>
      </c>
      <c r="G152" s="208"/>
      <c r="H152" s="162" t="s">
        <v>25</v>
      </c>
      <c r="I152" s="5">
        <v>60</v>
      </c>
      <c r="J152" s="5">
        <v>60</v>
      </c>
      <c r="K152" s="114" t="s">
        <v>211</v>
      </c>
      <c r="L152" s="5">
        <v>15</v>
      </c>
      <c r="M152" s="114" t="s">
        <v>211</v>
      </c>
      <c r="N152" s="114" t="s">
        <v>374</v>
      </c>
      <c r="O152" s="114" t="s">
        <v>380</v>
      </c>
      <c r="P152" s="7">
        <v>7</v>
      </c>
      <c r="Q152" s="114" t="s">
        <v>211</v>
      </c>
      <c r="R152" s="5">
        <v>2</v>
      </c>
      <c r="S152" s="114" t="s">
        <v>360</v>
      </c>
      <c r="T152" s="114">
        <f t="shared" si="38"/>
        <v>14</v>
      </c>
      <c r="U152" s="114"/>
      <c r="V152" s="114"/>
      <c r="W152" s="114"/>
      <c r="X152" s="114"/>
      <c r="Y152" s="114"/>
      <c r="Z152" s="114">
        <f t="shared" ref="Z152:Z164" si="39">SUM(O152+T152)</f>
        <v>33</v>
      </c>
      <c r="AA152" s="42">
        <f t="shared" si="37"/>
        <v>0.55000000000000004</v>
      </c>
      <c r="AB152" s="3"/>
      <c r="AC152" s="55"/>
      <c r="AD152" s="63">
        <f>10+10+10+10</f>
        <v>40</v>
      </c>
    </row>
    <row r="153" spans="2:30" ht="117" customHeight="1" x14ac:dyDescent="0.2">
      <c r="B153" s="49"/>
      <c r="C153" s="332"/>
      <c r="D153" s="333"/>
      <c r="E153" s="334"/>
      <c r="F153" s="19"/>
      <c r="G153" s="66" t="s">
        <v>217</v>
      </c>
      <c r="H153" s="19" t="s">
        <v>27</v>
      </c>
      <c r="I153" s="8">
        <v>48</v>
      </c>
      <c r="J153" s="8">
        <v>48</v>
      </c>
      <c r="K153" s="8">
        <v>2</v>
      </c>
      <c r="L153" s="8">
        <v>12</v>
      </c>
      <c r="M153" s="8">
        <v>17</v>
      </c>
      <c r="N153" s="8">
        <v>9</v>
      </c>
      <c r="O153" s="6">
        <v>40</v>
      </c>
      <c r="P153" s="6">
        <v>8</v>
      </c>
      <c r="Q153" s="113" t="s">
        <v>211</v>
      </c>
      <c r="R153" s="113" t="s">
        <v>211</v>
      </c>
      <c r="S153" s="111" t="s">
        <v>211</v>
      </c>
      <c r="T153" s="111">
        <f t="shared" si="38"/>
        <v>8</v>
      </c>
      <c r="U153" s="111"/>
      <c r="V153" s="111"/>
      <c r="W153" s="111"/>
      <c r="X153" s="111"/>
      <c r="Y153" s="111"/>
      <c r="Z153" s="6">
        <f t="shared" si="39"/>
        <v>48</v>
      </c>
      <c r="AA153" s="273">
        <f t="shared" si="37"/>
        <v>1</v>
      </c>
      <c r="AB153" s="12"/>
      <c r="AC153" s="12"/>
    </row>
    <row r="154" spans="2:30" ht="21" customHeight="1" x14ac:dyDescent="0.2">
      <c r="B154" s="49"/>
      <c r="C154" s="332"/>
      <c r="D154" s="333"/>
      <c r="E154" s="334"/>
      <c r="F154" s="19"/>
      <c r="G154" s="16" t="s">
        <v>52</v>
      </c>
      <c r="H154" s="67" t="s">
        <v>28</v>
      </c>
      <c r="I154" s="8">
        <v>100</v>
      </c>
      <c r="J154" s="8">
        <v>100</v>
      </c>
      <c r="K154" s="8">
        <v>4</v>
      </c>
      <c r="L154" s="8">
        <v>1</v>
      </c>
      <c r="M154" s="8">
        <v>1</v>
      </c>
      <c r="N154" s="8">
        <v>4</v>
      </c>
      <c r="O154" s="6">
        <f t="shared" ref="O154:O162" si="40">SUM(K154:N154)</f>
        <v>10</v>
      </c>
      <c r="P154" s="8">
        <v>57</v>
      </c>
      <c r="Q154" s="8">
        <v>1</v>
      </c>
      <c r="R154" s="8">
        <v>3</v>
      </c>
      <c r="S154" s="8">
        <v>5</v>
      </c>
      <c r="T154" s="6">
        <f t="shared" si="38"/>
        <v>66</v>
      </c>
      <c r="U154" s="8"/>
      <c r="V154" s="8"/>
      <c r="W154" s="8"/>
      <c r="X154" s="8"/>
      <c r="Y154" s="6"/>
      <c r="Z154" s="6">
        <f t="shared" si="39"/>
        <v>76</v>
      </c>
      <c r="AA154" s="70">
        <f t="shared" si="37"/>
        <v>0.76</v>
      </c>
      <c r="AB154" s="3"/>
      <c r="AC154" s="12"/>
    </row>
    <row r="155" spans="2:30" ht="18.75" customHeight="1" x14ac:dyDescent="0.2">
      <c r="B155" s="49"/>
      <c r="C155" s="332"/>
      <c r="D155" s="333"/>
      <c r="E155" s="334"/>
      <c r="F155" s="19"/>
      <c r="G155" s="16" t="s">
        <v>53</v>
      </c>
      <c r="H155" s="67" t="s">
        <v>25</v>
      </c>
      <c r="I155" s="68">
        <v>370</v>
      </c>
      <c r="J155" s="68">
        <v>370</v>
      </c>
      <c r="K155" s="8">
        <v>71</v>
      </c>
      <c r="L155" s="8">
        <v>47</v>
      </c>
      <c r="M155" s="8">
        <v>72</v>
      </c>
      <c r="N155" s="8">
        <v>40</v>
      </c>
      <c r="O155" s="6">
        <f t="shared" si="40"/>
        <v>230</v>
      </c>
      <c r="P155" s="8">
        <v>1</v>
      </c>
      <c r="Q155" s="8">
        <v>75</v>
      </c>
      <c r="R155" s="8">
        <v>46</v>
      </c>
      <c r="S155" s="8">
        <v>4</v>
      </c>
      <c r="T155" s="6">
        <f t="shared" si="38"/>
        <v>126</v>
      </c>
      <c r="U155" s="8"/>
      <c r="V155" s="8"/>
      <c r="W155" s="8"/>
      <c r="X155" s="8"/>
      <c r="Y155" s="6"/>
      <c r="Z155" s="6">
        <f t="shared" si="39"/>
        <v>356</v>
      </c>
      <c r="AA155" s="70">
        <f t="shared" si="37"/>
        <v>0.96216216216216222</v>
      </c>
      <c r="AB155" s="12"/>
      <c r="AC155" s="12"/>
    </row>
    <row r="156" spans="2:30" ht="94.5" customHeight="1" x14ac:dyDescent="0.2">
      <c r="B156" s="49"/>
      <c r="C156" s="332"/>
      <c r="D156" s="333"/>
      <c r="E156" s="334"/>
      <c r="F156" s="19"/>
      <c r="G156" s="16" t="s">
        <v>54</v>
      </c>
      <c r="H156" s="67" t="s">
        <v>25</v>
      </c>
      <c r="I156" s="8">
        <v>45</v>
      </c>
      <c r="J156" s="8">
        <v>45</v>
      </c>
      <c r="K156" s="8">
        <v>2</v>
      </c>
      <c r="L156" s="8">
        <v>13</v>
      </c>
      <c r="M156" s="113" t="s">
        <v>211</v>
      </c>
      <c r="N156" s="113" t="s">
        <v>211</v>
      </c>
      <c r="O156" s="6">
        <f t="shared" si="40"/>
        <v>15</v>
      </c>
      <c r="P156" s="8">
        <v>5</v>
      </c>
      <c r="Q156" s="8">
        <v>5</v>
      </c>
      <c r="R156" s="8">
        <v>7</v>
      </c>
      <c r="S156" s="8">
        <v>4</v>
      </c>
      <c r="T156" s="6">
        <f t="shared" si="38"/>
        <v>21</v>
      </c>
      <c r="U156" s="111"/>
      <c r="V156" s="8"/>
      <c r="W156" s="8"/>
      <c r="X156" s="111"/>
      <c r="Y156" s="6"/>
      <c r="Z156" s="6">
        <f t="shared" si="39"/>
        <v>36</v>
      </c>
      <c r="AA156" s="65">
        <f t="shared" si="37"/>
        <v>0.8</v>
      </c>
      <c r="AB156" s="12"/>
      <c r="AC156" s="12"/>
    </row>
    <row r="157" spans="2:30" ht="38.25" x14ac:dyDescent="0.2">
      <c r="B157" s="49"/>
      <c r="C157" s="332"/>
      <c r="D157" s="333"/>
      <c r="E157" s="334"/>
      <c r="F157" s="19"/>
      <c r="G157" s="16" t="s">
        <v>161</v>
      </c>
      <c r="H157" s="67" t="s">
        <v>25</v>
      </c>
      <c r="I157" s="8">
        <v>1000</v>
      </c>
      <c r="J157" s="8">
        <v>1000</v>
      </c>
      <c r="K157" s="8">
        <v>32</v>
      </c>
      <c r="L157" s="8">
        <v>396</v>
      </c>
      <c r="M157" s="113" t="s">
        <v>211</v>
      </c>
      <c r="N157" s="8">
        <v>3</v>
      </c>
      <c r="O157" s="6">
        <f t="shared" si="40"/>
        <v>431</v>
      </c>
      <c r="P157" s="8">
        <v>32</v>
      </c>
      <c r="Q157" s="8">
        <v>80</v>
      </c>
      <c r="R157" s="8">
        <v>73</v>
      </c>
      <c r="S157" s="8">
        <v>40</v>
      </c>
      <c r="T157" s="6">
        <f t="shared" si="38"/>
        <v>225</v>
      </c>
      <c r="U157" s="8"/>
      <c r="V157" s="8"/>
      <c r="W157" s="8"/>
      <c r="X157" s="111"/>
      <c r="Y157" s="6"/>
      <c r="Z157" s="6">
        <f t="shared" si="39"/>
        <v>656</v>
      </c>
      <c r="AA157" s="65">
        <f t="shared" si="37"/>
        <v>0.65600000000000003</v>
      </c>
      <c r="AB157" s="12"/>
      <c r="AC157" s="12"/>
    </row>
    <row r="158" spans="2:30" ht="25.5" x14ac:dyDescent="0.2">
      <c r="B158" s="49"/>
      <c r="C158" s="332"/>
      <c r="D158" s="333"/>
      <c r="E158" s="334"/>
      <c r="F158" s="19"/>
      <c r="G158" s="16" t="s">
        <v>162</v>
      </c>
      <c r="H158" s="67" t="s">
        <v>25</v>
      </c>
      <c r="I158" s="68">
        <v>1050</v>
      </c>
      <c r="J158" s="68">
        <v>1050</v>
      </c>
      <c r="K158" s="8">
        <v>24</v>
      </c>
      <c r="L158" s="8">
        <v>89</v>
      </c>
      <c r="M158" s="8">
        <v>278</v>
      </c>
      <c r="N158" s="8">
        <v>231</v>
      </c>
      <c r="O158" s="6">
        <f t="shared" si="40"/>
        <v>622</v>
      </c>
      <c r="P158" s="8">
        <v>195</v>
      </c>
      <c r="Q158" s="8">
        <v>233</v>
      </c>
      <c r="R158" s="113" t="s">
        <v>211</v>
      </c>
      <c r="S158" s="111" t="s">
        <v>211</v>
      </c>
      <c r="T158" s="6">
        <f t="shared" si="38"/>
        <v>428</v>
      </c>
      <c r="U158" s="113"/>
      <c r="V158" s="113"/>
      <c r="W158" s="113"/>
      <c r="X158" s="113"/>
      <c r="Y158" s="113"/>
      <c r="Z158" s="6">
        <f t="shared" si="39"/>
        <v>1050</v>
      </c>
      <c r="AA158" s="273">
        <f t="shared" si="37"/>
        <v>1</v>
      </c>
      <c r="AB158" s="12"/>
      <c r="AC158" s="12"/>
    </row>
    <row r="159" spans="2:30" ht="25.5" x14ac:dyDescent="0.2">
      <c r="B159" s="49"/>
      <c r="C159" s="332"/>
      <c r="D159" s="333"/>
      <c r="E159" s="334"/>
      <c r="F159" s="19"/>
      <c r="G159" s="84" t="s">
        <v>218</v>
      </c>
      <c r="H159" s="67" t="s">
        <v>25</v>
      </c>
      <c r="I159" s="68">
        <v>3000</v>
      </c>
      <c r="J159" s="68">
        <v>3000</v>
      </c>
      <c r="K159" s="8">
        <v>33</v>
      </c>
      <c r="L159" s="8">
        <v>30</v>
      </c>
      <c r="M159" s="8">
        <v>129</v>
      </c>
      <c r="N159" s="8">
        <v>166</v>
      </c>
      <c r="O159" s="68">
        <f t="shared" si="40"/>
        <v>358</v>
      </c>
      <c r="P159" s="8">
        <v>112</v>
      </c>
      <c r="Q159" s="8">
        <v>91</v>
      </c>
      <c r="R159" s="8">
        <v>38</v>
      </c>
      <c r="S159" s="8">
        <v>190</v>
      </c>
      <c r="T159" s="6">
        <f t="shared" si="38"/>
        <v>431</v>
      </c>
      <c r="U159" s="8"/>
      <c r="V159" s="8"/>
      <c r="W159" s="8"/>
      <c r="X159" s="8"/>
      <c r="Y159" s="6"/>
      <c r="Z159" s="6">
        <f t="shared" si="39"/>
        <v>789</v>
      </c>
      <c r="AA159" s="65">
        <f t="shared" si="37"/>
        <v>0.26300000000000001</v>
      </c>
      <c r="AB159" s="12"/>
      <c r="AC159" s="12"/>
    </row>
    <row r="160" spans="2:30" ht="45" customHeight="1" x14ac:dyDescent="0.2">
      <c r="B160" s="49"/>
      <c r="C160" s="332"/>
      <c r="D160" s="333"/>
      <c r="E160" s="334"/>
      <c r="F160" s="19"/>
      <c r="G160" s="16" t="s">
        <v>163</v>
      </c>
      <c r="H160" s="67" t="s">
        <v>28</v>
      </c>
      <c r="I160" s="8">
        <v>12</v>
      </c>
      <c r="J160" s="8">
        <v>12</v>
      </c>
      <c r="K160" s="113" t="s">
        <v>211</v>
      </c>
      <c r="L160" s="8">
        <v>1</v>
      </c>
      <c r="M160" s="8">
        <v>1</v>
      </c>
      <c r="N160" s="8">
        <v>2</v>
      </c>
      <c r="O160" s="109">
        <f t="shared" si="40"/>
        <v>4</v>
      </c>
      <c r="P160" s="8">
        <v>2</v>
      </c>
      <c r="Q160" s="8">
        <v>1</v>
      </c>
      <c r="R160" s="8">
        <v>2</v>
      </c>
      <c r="S160" s="8">
        <v>1</v>
      </c>
      <c r="T160" s="6">
        <f t="shared" si="38"/>
        <v>6</v>
      </c>
      <c r="U160" s="8"/>
      <c r="V160" s="8"/>
      <c r="W160" s="8"/>
      <c r="X160" s="113"/>
      <c r="Y160" s="6"/>
      <c r="Z160" s="109">
        <f t="shared" si="39"/>
        <v>10</v>
      </c>
      <c r="AA160" s="65">
        <f t="shared" si="37"/>
        <v>0.83333333333333337</v>
      </c>
      <c r="AB160" s="12"/>
      <c r="AC160" s="12"/>
    </row>
    <row r="161" spans="2:30" ht="56.25" customHeight="1" x14ac:dyDescent="0.2">
      <c r="B161" s="49"/>
      <c r="C161" s="332"/>
      <c r="D161" s="333"/>
      <c r="E161" s="334"/>
      <c r="F161" s="19"/>
      <c r="G161" s="16" t="s">
        <v>55</v>
      </c>
      <c r="H161" s="19" t="s">
        <v>27</v>
      </c>
      <c r="I161" s="20">
        <v>8</v>
      </c>
      <c r="J161" s="8">
        <v>8</v>
      </c>
      <c r="K161" s="113" t="s">
        <v>211</v>
      </c>
      <c r="L161" s="8">
        <v>1</v>
      </c>
      <c r="M161" s="113" t="s">
        <v>211</v>
      </c>
      <c r="N161" s="8">
        <v>1</v>
      </c>
      <c r="O161" s="109">
        <f t="shared" si="40"/>
        <v>2</v>
      </c>
      <c r="P161" s="8">
        <v>1</v>
      </c>
      <c r="Q161" s="8">
        <v>1</v>
      </c>
      <c r="R161" s="113" t="s">
        <v>211</v>
      </c>
      <c r="S161" s="8">
        <v>1</v>
      </c>
      <c r="T161" s="6">
        <f t="shared" si="38"/>
        <v>3</v>
      </c>
      <c r="U161" s="8"/>
      <c r="V161" s="113"/>
      <c r="W161" s="113"/>
      <c r="X161" s="113"/>
      <c r="Y161" s="6"/>
      <c r="Z161" s="109">
        <f t="shared" si="39"/>
        <v>5</v>
      </c>
      <c r="AA161" s="65">
        <f t="shared" si="37"/>
        <v>0.625</v>
      </c>
      <c r="AB161" s="12"/>
      <c r="AC161" s="12"/>
    </row>
    <row r="162" spans="2:30" ht="40.5" customHeight="1" x14ac:dyDescent="0.2">
      <c r="B162" s="49"/>
      <c r="C162" s="332"/>
      <c r="D162" s="333"/>
      <c r="E162" s="334"/>
      <c r="F162" s="19"/>
      <c r="G162" s="16" t="s">
        <v>56</v>
      </c>
      <c r="H162" s="8" t="s">
        <v>25</v>
      </c>
      <c r="I162" s="20">
        <v>60</v>
      </c>
      <c r="J162" s="8">
        <v>60</v>
      </c>
      <c r="K162" s="8">
        <v>18</v>
      </c>
      <c r="L162" s="113" t="s">
        <v>211</v>
      </c>
      <c r="M162" s="8">
        <v>4</v>
      </c>
      <c r="N162" s="8">
        <v>1</v>
      </c>
      <c r="O162" s="6">
        <f t="shared" si="40"/>
        <v>23</v>
      </c>
      <c r="P162" s="113" t="s">
        <v>211</v>
      </c>
      <c r="Q162" s="8">
        <v>3</v>
      </c>
      <c r="R162" s="113" t="s">
        <v>211</v>
      </c>
      <c r="S162" s="8">
        <v>2</v>
      </c>
      <c r="T162" s="113">
        <f t="shared" si="38"/>
        <v>5</v>
      </c>
      <c r="U162" s="8"/>
      <c r="V162" s="8"/>
      <c r="W162" s="8"/>
      <c r="X162" s="113"/>
      <c r="Y162" s="6"/>
      <c r="Z162" s="6">
        <f t="shared" si="39"/>
        <v>28</v>
      </c>
      <c r="AA162" s="65">
        <f t="shared" si="37"/>
        <v>0.46666666666666667</v>
      </c>
      <c r="AB162" s="3"/>
      <c r="AC162" s="12"/>
    </row>
    <row r="163" spans="2:30" ht="57.75" customHeight="1" x14ac:dyDescent="0.2">
      <c r="B163" s="49"/>
      <c r="C163" s="164"/>
      <c r="D163" s="165"/>
      <c r="E163" s="166"/>
      <c r="F163" s="19"/>
      <c r="G163" s="16" t="s">
        <v>57</v>
      </c>
      <c r="H163" s="19" t="s">
        <v>27</v>
      </c>
      <c r="I163" s="20">
        <v>10</v>
      </c>
      <c r="J163" s="8">
        <v>10</v>
      </c>
      <c r="K163" s="113" t="s">
        <v>211</v>
      </c>
      <c r="L163" s="8">
        <v>2</v>
      </c>
      <c r="M163" s="8">
        <v>1</v>
      </c>
      <c r="N163" s="8">
        <v>2</v>
      </c>
      <c r="O163" s="109" t="s">
        <v>360</v>
      </c>
      <c r="P163" s="8">
        <v>3</v>
      </c>
      <c r="Q163" s="8">
        <v>1</v>
      </c>
      <c r="R163" s="8">
        <v>1</v>
      </c>
      <c r="S163" s="113" t="s">
        <v>211</v>
      </c>
      <c r="T163" s="113">
        <f t="shared" si="38"/>
        <v>5</v>
      </c>
      <c r="U163" s="8"/>
      <c r="V163" s="8"/>
      <c r="W163" s="8"/>
      <c r="X163" s="113"/>
      <c r="Y163" s="6"/>
      <c r="Z163" s="109">
        <f t="shared" si="39"/>
        <v>10</v>
      </c>
      <c r="AA163" s="306">
        <f t="shared" si="37"/>
        <v>1</v>
      </c>
      <c r="AB163" s="3"/>
      <c r="AC163" s="12"/>
    </row>
    <row r="164" spans="2:30" ht="92.25" customHeight="1" x14ac:dyDescent="0.2">
      <c r="B164" s="49"/>
      <c r="C164" s="164"/>
      <c r="D164" s="165"/>
      <c r="E164" s="166"/>
      <c r="F164" s="19"/>
      <c r="G164" s="16" t="s">
        <v>219</v>
      </c>
      <c r="H164" s="19" t="s">
        <v>27</v>
      </c>
      <c r="I164" s="20">
        <v>50</v>
      </c>
      <c r="J164" s="8">
        <v>50</v>
      </c>
      <c r="K164" s="113" t="s">
        <v>211</v>
      </c>
      <c r="L164" s="113" t="s">
        <v>211</v>
      </c>
      <c r="M164" s="8">
        <v>3</v>
      </c>
      <c r="N164" s="113" t="s">
        <v>211</v>
      </c>
      <c r="O164" s="109" t="s">
        <v>355</v>
      </c>
      <c r="P164" s="8">
        <v>1</v>
      </c>
      <c r="Q164" s="8">
        <v>13</v>
      </c>
      <c r="R164" s="113" t="s">
        <v>211</v>
      </c>
      <c r="S164" s="113" t="s">
        <v>211</v>
      </c>
      <c r="T164" s="6">
        <f t="shared" si="38"/>
        <v>14</v>
      </c>
      <c r="U164" s="8"/>
      <c r="V164" s="8"/>
      <c r="W164" s="8"/>
      <c r="X164" s="113"/>
      <c r="Y164" s="6"/>
      <c r="Z164" s="109">
        <f t="shared" si="39"/>
        <v>17</v>
      </c>
      <c r="AA164" s="65">
        <f t="shared" si="37"/>
        <v>0.34</v>
      </c>
      <c r="AB164" s="3"/>
      <c r="AC164" s="12"/>
    </row>
    <row r="165" spans="2:30" s="188" customFormat="1" ht="18" customHeight="1" x14ac:dyDescent="0.2">
      <c r="B165" s="351" t="s">
        <v>115</v>
      </c>
      <c r="C165" s="352"/>
      <c r="D165" s="352"/>
      <c r="E165" s="352"/>
      <c r="F165" s="352"/>
      <c r="G165" s="352"/>
      <c r="H165" s="352"/>
      <c r="I165" s="352"/>
      <c r="J165" s="352"/>
      <c r="K165" s="352"/>
      <c r="L165" s="352"/>
      <c r="M165" s="352"/>
      <c r="N165" s="352"/>
      <c r="O165" s="352"/>
      <c r="P165" s="352"/>
      <c r="Q165" s="352"/>
      <c r="R165" s="352"/>
      <c r="S165" s="352"/>
      <c r="T165" s="352"/>
      <c r="U165" s="352"/>
      <c r="V165" s="352"/>
      <c r="W165" s="352"/>
      <c r="X165" s="352"/>
      <c r="Y165" s="352"/>
      <c r="Z165" s="352"/>
      <c r="AA165" s="352"/>
      <c r="AB165" s="352"/>
      <c r="AC165" s="225"/>
    </row>
    <row r="166" spans="2:30" s="188" customFormat="1" ht="27.75" customHeight="1" x14ac:dyDescent="0.2">
      <c r="B166" s="368" t="s">
        <v>102</v>
      </c>
      <c r="C166" s="368"/>
      <c r="D166" s="368"/>
      <c r="E166" s="368"/>
      <c r="F166" s="466" t="s">
        <v>116</v>
      </c>
      <c r="G166" s="467"/>
      <c r="H166" s="467"/>
      <c r="I166" s="467"/>
      <c r="J166" s="467"/>
      <c r="K166" s="467"/>
      <c r="L166" s="467"/>
      <c r="M166" s="467"/>
      <c r="N166" s="467"/>
      <c r="O166" s="467"/>
      <c r="P166" s="467"/>
      <c r="Q166" s="467"/>
      <c r="R166" s="467"/>
      <c r="S166" s="467"/>
      <c r="T166" s="467"/>
      <c r="U166" s="467"/>
      <c r="V166" s="467"/>
      <c r="W166" s="467"/>
      <c r="X166" s="467"/>
      <c r="Y166" s="467"/>
      <c r="Z166" s="467"/>
      <c r="AA166" s="467"/>
      <c r="AB166" s="467"/>
      <c r="AC166" s="468"/>
    </row>
    <row r="167" spans="2:30" s="188" customFormat="1" ht="17.25" customHeight="1" x14ac:dyDescent="0.2">
      <c r="B167" s="368" t="s">
        <v>103</v>
      </c>
      <c r="C167" s="368"/>
      <c r="D167" s="368"/>
      <c r="E167" s="368"/>
      <c r="F167" s="386" t="s">
        <v>117</v>
      </c>
      <c r="G167" s="386"/>
      <c r="H167" s="386"/>
      <c r="I167" s="386"/>
      <c r="J167" s="386"/>
      <c r="K167" s="386"/>
      <c r="L167" s="386"/>
      <c r="M167" s="386"/>
      <c r="N167" s="386"/>
      <c r="O167" s="386"/>
      <c r="P167" s="386"/>
      <c r="Q167" s="386"/>
      <c r="R167" s="386"/>
      <c r="S167" s="386"/>
      <c r="T167" s="386"/>
      <c r="U167" s="386"/>
      <c r="V167" s="386"/>
      <c r="W167" s="386"/>
      <c r="X167" s="386"/>
      <c r="Y167" s="386"/>
      <c r="Z167" s="386"/>
      <c r="AA167" s="386"/>
      <c r="AB167" s="386"/>
      <c r="AC167" s="222"/>
    </row>
    <row r="168" spans="2:30" ht="21" customHeight="1" x14ac:dyDescent="0.2">
      <c r="B168" s="90"/>
      <c r="C168" s="345" t="s">
        <v>235</v>
      </c>
      <c r="D168" s="346"/>
      <c r="E168" s="346"/>
      <c r="F168" s="346"/>
      <c r="G168" s="346"/>
      <c r="H168" s="346"/>
      <c r="I168" s="346"/>
      <c r="J168" s="346"/>
      <c r="K168" s="346"/>
      <c r="L168" s="346"/>
      <c r="M168" s="346"/>
      <c r="N168" s="346"/>
      <c r="O168" s="346"/>
      <c r="P168" s="346"/>
      <c r="Q168" s="346"/>
      <c r="R168" s="346"/>
      <c r="S168" s="346"/>
      <c r="T168" s="346"/>
      <c r="U168" s="346"/>
      <c r="V168" s="346"/>
      <c r="W168" s="346"/>
      <c r="X168" s="346"/>
      <c r="Y168" s="346"/>
      <c r="Z168" s="346"/>
      <c r="AA168" s="346"/>
      <c r="AB168" s="346"/>
      <c r="AC168" s="347"/>
    </row>
    <row r="169" spans="2:30" ht="53.25" customHeight="1" x14ac:dyDescent="0.2">
      <c r="B169" s="191" t="s">
        <v>139</v>
      </c>
      <c r="C169" s="379" t="s">
        <v>94</v>
      </c>
      <c r="D169" s="380"/>
      <c r="E169" s="381"/>
      <c r="F169" s="192" t="s">
        <v>95</v>
      </c>
      <c r="G169" s="193" t="s">
        <v>4</v>
      </c>
      <c r="H169" s="194" t="s">
        <v>3</v>
      </c>
      <c r="I169" s="195" t="s">
        <v>96</v>
      </c>
      <c r="J169" s="195" t="s">
        <v>150</v>
      </c>
      <c r="K169" s="1" t="s">
        <v>5</v>
      </c>
      <c r="L169" s="1" t="s">
        <v>6</v>
      </c>
      <c r="M169" s="1" t="s">
        <v>7</v>
      </c>
      <c r="N169" s="1" t="s">
        <v>8</v>
      </c>
      <c r="O169" s="35" t="s">
        <v>157</v>
      </c>
      <c r="P169" s="2" t="s">
        <v>9</v>
      </c>
      <c r="Q169" s="2" t="s">
        <v>10</v>
      </c>
      <c r="R169" s="2" t="s">
        <v>11</v>
      </c>
      <c r="S169" s="2" t="s">
        <v>12</v>
      </c>
      <c r="T169" s="35" t="s">
        <v>158</v>
      </c>
      <c r="U169" s="2" t="s">
        <v>13</v>
      </c>
      <c r="V169" s="2" t="s">
        <v>14</v>
      </c>
      <c r="W169" s="2" t="s">
        <v>15</v>
      </c>
      <c r="X169" s="2" t="s">
        <v>16</v>
      </c>
      <c r="Y169" s="35" t="s">
        <v>159</v>
      </c>
      <c r="Z169" s="196" t="s">
        <v>97</v>
      </c>
      <c r="AA169" s="196" t="s">
        <v>98</v>
      </c>
      <c r="AB169" s="197" t="s">
        <v>236</v>
      </c>
      <c r="AC169" s="196" t="s">
        <v>99</v>
      </c>
    </row>
    <row r="170" spans="2:30" ht="86.25" customHeight="1" x14ac:dyDescent="0.2">
      <c r="B170" s="31">
        <v>3</v>
      </c>
      <c r="C170" s="364" t="s">
        <v>280</v>
      </c>
      <c r="D170" s="365"/>
      <c r="E170" s="366"/>
      <c r="F170" s="208"/>
      <c r="G170" s="208"/>
      <c r="H170" s="5" t="s">
        <v>23</v>
      </c>
      <c r="I170" s="10">
        <v>2800</v>
      </c>
      <c r="J170" s="10">
        <v>2429</v>
      </c>
      <c r="K170" s="110" t="s">
        <v>211</v>
      </c>
      <c r="L170" s="110" t="s">
        <v>211</v>
      </c>
      <c r="M170" s="110" t="s">
        <v>211</v>
      </c>
      <c r="N170" s="5" t="s">
        <v>211</v>
      </c>
      <c r="O170" s="109" t="s">
        <v>211</v>
      </c>
      <c r="P170" s="110" t="s">
        <v>211</v>
      </c>
      <c r="Q170" s="110" t="s">
        <v>211</v>
      </c>
      <c r="R170" s="110" t="s">
        <v>211</v>
      </c>
      <c r="S170" s="110" t="s">
        <v>211</v>
      </c>
      <c r="T170" s="6" t="s">
        <v>211</v>
      </c>
      <c r="U170" s="8"/>
      <c r="V170" s="8"/>
      <c r="W170" s="8"/>
      <c r="X170" s="113"/>
      <c r="Y170" s="6"/>
      <c r="Z170" s="109" t="s">
        <v>211</v>
      </c>
      <c r="AA170" s="109" t="s">
        <v>211</v>
      </c>
      <c r="AB170" s="3">
        <v>5177973</v>
      </c>
      <c r="AC170" s="126" t="s">
        <v>434</v>
      </c>
      <c r="AD170" s="63">
        <f>SUM(AD171:AD173)</f>
        <v>0</v>
      </c>
    </row>
    <row r="171" spans="2:30" ht="81" customHeight="1" outlineLevel="1" x14ac:dyDescent="0.2">
      <c r="B171" s="49"/>
      <c r="C171" s="209"/>
      <c r="D171" s="209"/>
      <c r="E171" s="209"/>
      <c r="F171" s="66" t="s">
        <v>281</v>
      </c>
      <c r="G171" s="21"/>
      <c r="H171" s="5" t="s">
        <v>23</v>
      </c>
      <c r="I171" s="10">
        <v>2800</v>
      </c>
      <c r="J171" s="10">
        <v>2429</v>
      </c>
      <c r="K171" s="110" t="s">
        <v>211</v>
      </c>
      <c r="L171" s="110" t="s">
        <v>211</v>
      </c>
      <c r="M171" s="110" t="s">
        <v>211</v>
      </c>
      <c r="N171" s="5" t="s">
        <v>211</v>
      </c>
      <c r="O171" s="109" t="s">
        <v>211</v>
      </c>
      <c r="P171" s="110" t="s">
        <v>211</v>
      </c>
      <c r="Q171" s="110" t="s">
        <v>211</v>
      </c>
      <c r="R171" s="110" t="s">
        <v>211</v>
      </c>
      <c r="S171" s="110" t="s">
        <v>211</v>
      </c>
      <c r="T171" s="6" t="s">
        <v>211</v>
      </c>
      <c r="U171" s="8"/>
      <c r="V171" s="8"/>
      <c r="W171" s="8"/>
      <c r="X171" s="113"/>
      <c r="Y171" s="6"/>
      <c r="Z171" s="109" t="s">
        <v>211</v>
      </c>
      <c r="AA171" s="109" t="s">
        <v>211</v>
      </c>
      <c r="AB171" s="9"/>
      <c r="AC171" s="93"/>
    </row>
    <row r="172" spans="2:30" ht="97.5" customHeight="1" outlineLevel="1" x14ac:dyDescent="0.2">
      <c r="B172" s="49"/>
      <c r="C172" s="344"/>
      <c r="D172" s="344"/>
      <c r="E172" s="344"/>
      <c r="F172" s="66"/>
      <c r="G172" s="16" t="s">
        <v>282</v>
      </c>
      <c r="H172" s="67" t="s">
        <v>24</v>
      </c>
      <c r="I172" s="67">
        <v>2800</v>
      </c>
      <c r="J172" s="67">
        <v>2429</v>
      </c>
      <c r="K172" s="109" t="s">
        <v>211</v>
      </c>
      <c r="L172" s="109" t="s">
        <v>211</v>
      </c>
      <c r="M172" s="109" t="s">
        <v>211</v>
      </c>
      <c r="N172" s="113" t="s">
        <v>211</v>
      </c>
      <c r="O172" s="109" t="s">
        <v>211</v>
      </c>
      <c r="P172" s="109" t="s">
        <v>211</v>
      </c>
      <c r="Q172" s="109" t="s">
        <v>211</v>
      </c>
      <c r="R172" s="109" t="s">
        <v>211</v>
      </c>
      <c r="S172" s="109" t="s">
        <v>211</v>
      </c>
      <c r="T172" s="6" t="s">
        <v>211</v>
      </c>
      <c r="U172" s="8"/>
      <c r="V172" s="8"/>
      <c r="W172" s="8"/>
      <c r="X172" s="113"/>
      <c r="Y172" s="6"/>
      <c r="Z172" s="109" t="s">
        <v>211</v>
      </c>
      <c r="AA172" s="109" t="s">
        <v>211</v>
      </c>
      <c r="AB172" s="9"/>
      <c r="AC172" s="93"/>
    </row>
    <row r="173" spans="2:30" ht="116.25" customHeight="1" outlineLevel="1" x14ac:dyDescent="0.2">
      <c r="B173" s="49"/>
      <c r="C173" s="344"/>
      <c r="D173" s="344"/>
      <c r="E173" s="344"/>
      <c r="F173" s="8"/>
      <c r="G173" s="16" t="s">
        <v>283</v>
      </c>
      <c r="H173" s="67" t="s">
        <v>19</v>
      </c>
      <c r="I173" s="67">
        <v>4</v>
      </c>
      <c r="J173" s="67">
        <v>4</v>
      </c>
      <c r="K173" s="109" t="s">
        <v>211</v>
      </c>
      <c r="L173" s="109" t="s">
        <v>211</v>
      </c>
      <c r="M173" s="109" t="s">
        <v>211</v>
      </c>
      <c r="N173" s="8"/>
      <c r="O173" s="109" t="s">
        <v>211</v>
      </c>
      <c r="P173" s="109" t="s">
        <v>211</v>
      </c>
      <c r="Q173" s="109" t="s">
        <v>211</v>
      </c>
      <c r="R173" s="109" t="s">
        <v>211</v>
      </c>
      <c r="S173" s="109" t="s">
        <v>211</v>
      </c>
      <c r="T173" s="6" t="s">
        <v>211</v>
      </c>
      <c r="U173" s="8"/>
      <c r="V173" s="8"/>
      <c r="W173" s="8"/>
      <c r="X173" s="113"/>
      <c r="Y173" s="6"/>
      <c r="Z173" s="109" t="s">
        <v>211</v>
      </c>
      <c r="AA173" s="109" t="s">
        <v>211</v>
      </c>
      <c r="AB173" s="12"/>
      <c r="AC173" s="93"/>
    </row>
    <row r="174" spans="2:30" s="188" customFormat="1" ht="15" customHeight="1" x14ac:dyDescent="0.2">
      <c r="B174" s="351" t="s">
        <v>118</v>
      </c>
      <c r="C174" s="352"/>
      <c r="D174" s="352"/>
      <c r="E174" s="352"/>
      <c r="F174" s="352"/>
      <c r="G174" s="352"/>
      <c r="H174" s="352"/>
      <c r="I174" s="352"/>
      <c r="J174" s="352"/>
      <c r="K174" s="352"/>
      <c r="L174" s="352"/>
      <c r="M174" s="352"/>
      <c r="N174" s="352"/>
      <c r="O174" s="352"/>
      <c r="P174" s="352"/>
      <c r="Q174" s="352"/>
      <c r="R174" s="352"/>
      <c r="S174" s="352"/>
      <c r="T174" s="352"/>
      <c r="U174" s="352"/>
      <c r="V174" s="352"/>
      <c r="W174" s="352"/>
      <c r="X174" s="352"/>
      <c r="Y174" s="352"/>
      <c r="Z174" s="352"/>
      <c r="AA174" s="352"/>
      <c r="AB174" s="352"/>
      <c r="AC174" s="225"/>
    </row>
    <row r="175" spans="2:30" s="188" customFormat="1" ht="17.25" customHeight="1" x14ac:dyDescent="0.2">
      <c r="B175" s="349" t="s">
        <v>102</v>
      </c>
      <c r="C175" s="349"/>
      <c r="D175" s="349"/>
      <c r="E175" s="349"/>
      <c r="F175" s="350" t="s">
        <v>119</v>
      </c>
      <c r="G175" s="350"/>
      <c r="H175" s="350"/>
      <c r="I175" s="350"/>
      <c r="J175" s="350"/>
      <c r="K175" s="350"/>
      <c r="L175" s="350"/>
      <c r="M175" s="350"/>
      <c r="N175" s="350"/>
      <c r="O175" s="350"/>
      <c r="P175" s="350"/>
      <c r="Q175" s="350"/>
      <c r="R175" s="350"/>
      <c r="S175" s="350"/>
      <c r="T175" s="350"/>
      <c r="U175" s="350"/>
      <c r="V175" s="350"/>
      <c r="W175" s="350"/>
      <c r="X175" s="350"/>
      <c r="Y175" s="350"/>
      <c r="Z175" s="350"/>
      <c r="AA175" s="350"/>
      <c r="AB175" s="350"/>
      <c r="AC175" s="350"/>
    </row>
    <row r="176" spans="2:30" s="188" customFormat="1" ht="16.5" customHeight="1" x14ac:dyDescent="0.2">
      <c r="B176" s="368" t="s">
        <v>103</v>
      </c>
      <c r="C176" s="368"/>
      <c r="D176" s="368"/>
      <c r="E176" s="368"/>
      <c r="F176" s="386" t="s">
        <v>120</v>
      </c>
      <c r="G176" s="386"/>
      <c r="H176" s="386"/>
      <c r="I176" s="386"/>
      <c r="J176" s="386"/>
      <c r="K176" s="386"/>
      <c r="L176" s="386"/>
      <c r="M176" s="386"/>
      <c r="N176" s="386"/>
      <c r="O176" s="386"/>
      <c r="P176" s="386"/>
      <c r="Q176" s="386"/>
      <c r="R176" s="386"/>
      <c r="S176" s="386"/>
      <c r="T176" s="386"/>
      <c r="U176" s="386"/>
      <c r="V176" s="386"/>
      <c r="W176" s="386"/>
      <c r="X176" s="386"/>
      <c r="Y176" s="386"/>
      <c r="Z176" s="386"/>
      <c r="AA176" s="386"/>
      <c r="AB176" s="386"/>
      <c r="AC176" s="386"/>
    </row>
    <row r="177" spans="2:33" ht="18" customHeight="1" x14ac:dyDescent="0.2">
      <c r="B177" s="90"/>
      <c r="C177" s="345" t="s">
        <v>235</v>
      </c>
      <c r="D177" s="346"/>
      <c r="E177" s="346"/>
      <c r="F177" s="346"/>
      <c r="G177" s="346"/>
      <c r="H177" s="346"/>
      <c r="I177" s="346"/>
      <c r="J177" s="346"/>
      <c r="K177" s="346"/>
      <c r="L177" s="346"/>
      <c r="M177" s="346"/>
      <c r="N177" s="346"/>
      <c r="O177" s="346"/>
      <c r="P177" s="346"/>
      <c r="Q177" s="346"/>
      <c r="R177" s="346"/>
      <c r="S177" s="346"/>
      <c r="T177" s="346"/>
      <c r="U177" s="346"/>
      <c r="V177" s="346"/>
      <c r="W177" s="346"/>
      <c r="X177" s="346"/>
      <c r="Y177" s="346"/>
      <c r="Z177" s="346"/>
      <c r="AA177" s="346"/>
      <c r="AB177" s="346"/>
      <c r="AC177" s="347"/>
    </row>
    <row r="178" spans="2:33" ht="51" customHeight="1" x14ac:dyDescent="0.2">
      <c r="B178" s="191" t="s">
        <v>139</v>
      </c>
      <c r="C178" s="379" t="s">
        <v>94</v>
      </c>
      <c r="D178" s="380"/>
      <c r="E178" s="381"/>
      <c r="F178" s="192" t="s">
        <v>95</v>
      </c>
      <c r="G178" s="193" t="s">
        <v>4</v>
      </c>
      <c r="H178" s="194" t="s">
        <v>3</v>
      </c>
      <c r="I178" s="195" t="s">
        <v>96</v>
      </c>
      <c r="J178" s="195" t="s">
        <v>150</v>
      </c>
      <c r="K178" s="1" t="s">
        <v>5</v>
      </c>
      <c r="L178" s="1" t="s">
        <v>6</v>
      </c>
      <c r="M178" s="1" t="s">
        <v>7</v>
      </c>
      <c r="N178" s="1" t="s">
        <v>8</v>
      </c>
      <c r="O178" s="35" t="s">
        <v>157</v>
      </c>
      <c r="P178" s="2" t="s">
        <v>9</v>
      </c>
      <c r="Q178" s="2" t="s">
        <v>10</v>
      </c>
      <c r="R178" s="2" t="s">
        <v>11</v>
      </c>
      <c r="S178" s="2" t="s">
        <v>12</v>
      </c>
      <c r="T178" s="35" t="s">
        <v>158</v>
      </c>
      <c r="U178" s="2" t="s">
        <v>13</v>
      </c>
      <c r="V178" s="2" t="s">
        <v>14</v>
      </c>
      <c r="W178" s="2" t="s">
        <v>15</v>
      </c>
      <c r="X178" s="2" t="s">
        <v>16</v>
      </c>
      <c r="Y178" s="35" t="s">
        <v>159</v>
      </c>
      <c r="Z178" s="196" t="s">
        <v>97</v>
      </c>
      <c r="AA178" s="196" t="s">
        <v>98</v>
      </c>
      <c r="AB178" s="197" t="s">
        <v>256</v>
      </c>
      <c r="AC178" s="196" t="s">
        <v>99</v>
      </c>
    </row>
    <row r="179" spans="2:33" ht="68.25" customHeight="1" x14ac:dyDescent="0.2">
      <c r="B179" s="31">
        <v>4</v>
      </c>
      <c r="C179" s="364" t="s">
        <v>285</v>
      </c>
      <c r="D179" s="365"/>
      <c r="E179" s="366"/>
      <c r="F179" s="49"/>
      <c r="G179" s="208"/>
      <c r="H179" s="162" t="s">
        <v>51</v>
      </c>
      <c r="I179" s="162">
        <v>441</v>
      </c>
      <c r="J179" s="310">
        <v>539</v>
      </c>
      <c r="K179" s="125">
        <f>+K180+K188+K192</f>
        <v>26</v>
      </c>
      <c r="L179" s="125">
        <f>+L180+L188+L192</f>
        <v>18</v>
      </c>
      <c r="M179" s="125">
        <f>+M180+M188+M192</f>
        <v>34</v>
      </c>
      <c r="N179" s="125">
        <f>+N180+N188+N192</f>
        <v>34</v>
      </c>
      <c r="O179" s="7">
        <f>SUM(O180+O188+O192)</f>
        <v>112</v>
      </c>
      <c r="P179" s="125">
        <f>+P180+P188+P192</f>
        <v>57</v>
      </c>
      <c r="Q179" s="125">
        <f>+Q180+Q188+Q192</f>
        <v>31</v>
      </c>
      <c r="R179" s="162">
        <f>+R180+R188+R192</f>
        <v>25</v>
      </c>
      <c r="S179" s="125">
        <f>+S180+S188+S192+S194</f>
        <v>22</v>
      </c>
      <c r="T179" s="7">
        <f t="shared" ref="T179:T180" si="41">SUM(P179:S179)</f>
        <v>135</v>
      </c>
      <c r="U179" s="125"/>
      <c r="V179" s="125"/>
      <c r="W179" s="125"/>
      <c r="X179" s="162"/>
      <c r="Y179" s="7"/>
      <c r="Z179" s="7">
        <f t="shared" ref="Z179:Z193" si="42">SUM(O179+T179)</f>
        <v>247</v>
      </c>
      <c r="AA179" s="42">
        <f t="shared" ref="AA179:AA187" si="43">SUM(Z179/J179)</f>
        <v>0.45825602968460111</v>
      </c>
      <c r="AB179" s="3">
        <v>8157762</v>
      </c>
      <c r="AC179" s="270" t="s">
        <v>435</v>
      </c>
      <c r="AD179" s="63">
        <f>SUM(AD180:AD182)</f>
        <v>0</v>
      </c>
    </row>
    <row r="180" spans="2:33" ht="81" customHeight="1" x14ac:dyDescent="0.2">
      <c r="B180" s="49"/>
      <c r="C180" s="344"/>
      <c r="D180" s="344"/>
      <c r="E180" s="344"/>
      <c r="F180" s="66" t="s">
        <v>287</v>
      </c>
      <c r="G180" s="51"/>
      <c r="H180" s="162" t="s">
        <v>51</v>
      </c>
      <c r="I180" s="162">
        <v>75</v>
      </c>
      <c r="J180" s="276">
        <v>145</v>
      </c>
      <c r="K180" s="185" t="s">
        <v>211</v>
      </c>
      <c r="L180" s="114" t="s">
        <v>211</v>
      </c>
      <c r="M180" s="5">
        <v>8</v>
      </c>
      <c r="N180" s="5">
        <v>2</v>
      </c>
      <c r="O180" s="7">
        <v>10</v>
      </c>
      <c r="P180" s="114" t="s">
        <v>211</v>
      </c>
      <c r="Q180" s="5">
        <v>2</v>
      </c>
      <c r="R180" s="7">
        <v>2</v>
      </c>
      <c r="S180" s="5">
        <v>2</v>
      </c>
      <c r="T180" s="7">
        <f t="shared" si="41"/>
        <v>6</v>
      </c>
      <c r="U180" s="7"/>
      <c r="V180" s="7"/>
      <c r="W180" s="7"/>
      <c r="X180" s="7"/>
      <c r="Y180" s="7"/>
      <c r="Z180" s="7">
        <f t="shared" si="42"/>
        <v>16</v>
      </c>
      <c r="AA180" s="42">
        <f t="shared" si="43"/>
        <v>0.1103448275862069</v>
      </c>
      <c r="AB180" s="9"/>
      <c r="AC180" s="317" t="s">
        <v>449</v>
      </c>
    </row>
    <row r="181" spans="2:33" ht="65.25" customHeight="1" x14ac:dyDescent="0.2">
      <c r="B181" s="49"/>
      <c r="C181" s="344"/>
      <c r="D181" s="344"/>
      <c r="E181" s="344"/>
      <c r="F181" s="155"/>
      <c r="G181" s="66" t="s">
        <v>58</v>
      </c>
      <c r="H181" s="19" t="s">
        <v>25</v>
      </c>
      <c r="I181" s="67">
        <v>295</v>
      </c>
      <c r="J181" s="277">
        <v>295</v>
      </c>
      <c r="K181" s="8">
        <v>17</v>
      </c>
      <c r="L181" s="8">
        <v>29</v>
      </c>
      <c r="M181" s="8">
        <v>23</v>
      </c>
      <c r="N181" s="8">
        <v>26</v>
      </c>
      <c r="O181" s="6">
        <f>SUM(K181:N181)</f>
        <v>95</v>
      </c>
      <c r="P181" s="8">
        <v>53</v>
      </c>
      <c r="Q181" s="8">
        <v>37</v>
      </c>
      <c r="R181" s="8">
        <v>47</v>
      </c>
      <c r="S181" s="8">
        <v>29</v>
      </c>
      <c r="T181" s="6">
        <f t="shared" ref="T181:T187" si="44">SUM(P181+Q181+R181+S181)</f>
        <v>166</v>
      </c>
      <c r="U181" s="19"/>
      <c r="V181" s="19"/>
      <c r="W181" s="19"/>
      <c r="X181" s="113"/>
      <c r="Y181" s="6"/>
      <c r="Z181" s="109">
        <f t="shared" si="42"/>
        <v>261</v>
      </c>
      <c r="AA181" s="70">
        <f t="shared" si="43"/>
        <v>0.88474576271186445</v>
      </c>
      <c r="AB181" s="8"/>
      <c r="AC181" s="8"/>
      <c r="AF181" s="392"/>
      <c r="AG181" s="392"/>
    </row>
    <row r="182" spans="2:33" ht="29.25" customHeight="1" x14ac:dyDescent="0.2">
      <c r="B182" s="49"/>
      <c r="C182" s="344"/>
      <c r="D182" s="344"/>
      <c r="E182" s="344"/>
      <c r="F182" s="155"/>
      <c r="G182" s="66" t="s">
        <v>59</v>
      </c>
      <c r="H182" s="19" t="s">
        <v>25</v>
      </c>
      <c r="I182" s="67">
        <v>340</v>
      </c>
      <c r="J182" s="19">
        <v>340</v>
      </c>
      <c r="K182" s="8">
        <v>48</v>
      </c>
      <c r="L182" s="8">
        <v>36</v>
      </c>
      <c r="M182" s="8">
        <v>52</v>
      </c>
      <c r="N182" s="8">
        <v>26</v>
      </c>
      <c r="O182" s="6">
        <f>SUM(K182:N182)</f>
        <v>162</v>
      </c>
      <c r="P182" s="8">
        <v>64</v>
      </c>
      <c r="Q182" s="8">
        <v>31</v>
      </c>
      <c r="R182" s="8">
        <v>68</v>
      </c>
      <c r="S182" s="8">
        <v>49</v>
      </c>
      <c r="T182" s="6">
        <f t="shared" si="44"/>
        <v>212</v>
      </c>
      <c r="U182" s="8"/>
      <c r="V182" s="8"/>
      <c r="W182" s="8"/>
      <c r="X182" s="8"/>
      <c r="Y182" s="6"/>
      <c r="Z182" s="6">
        <v>340</v>
      </c>
      <c r="AA182" s="273">
        <f t="shared" si="43"/>
        <v>1</v>
      </c>
      <c r="AB182" s="8"/>
      <c r="AC182" s="8"/>
      <c r="AF182" s="392"/>
      <c r="AG182" s="392"/>
    </row>
    <row r="183" spans="2:33" ht="28.5" customHeight="1" x14ac:dyDescent="0.2">
      <c r="B183" s="49"/>
      <c r="C183" s="344"/>
      <c r="D183" s="344"/>
      <c r="E183" s="344"/>
      <c r="F183" s="155"/>
      <c r="G183" s="66" t="s">
        <v>60</v>
      </c>
      <c r="H183" s="19" t="s">
        <v>25</v>
      </c>
      <c r="I183" s="67">
        <v>50</v>
      </c>
      <c r="J183" s="19">
        <v>50</v>
      </c>
      <c r="K183" s="8">
        <v>5</v>
      </c>
      <c r="L183" s="8">
        <v>6</v>
      </c>
      <c r="M183" s="8">
        <v>10</v>
      </c>
      <c r="N183" s="8">
        <v>1</v>
      </c>
      <c r="O183" s="6">
        <f>SUM(K183:N183)</f>
        <v>22</v>
      </c>
      <c r="P183" s="8">
        <v>8</v>
      </c>
      <c r="Q183" s="8">
        <v>8</v>
      </c>
      <c r="R183" s="8">
        <v>7</v>
      </c>
      <c r="S183" s="8">
        <v>3</v>
      </c>
      <c r="T183" s="6">
        <f t="shared" si="44"/>
        <v>26</v>
      </c>
      <c r="U183" s="8"/>
      <c r="V183" s="8"/>
      <c r="W183" s="8"/>
      <c r="X183" s="113"/>
      <c r="Y183" s="6"/>
      <c r="Z183" s="6">
        <f t="shared" si="42"/>
        <v>48</v>
      </c>
      <c r="AA183" s="65">
        <f t="shared" si="43"/>
        <v>0.96</v>
      </c>
      <c r="AB183" s="8"/>
      <c r="AC183" s="8"/>
      <c r="AF183" s="392"/>
      <c r="AG183" s="392"/>
    </row>
    <row r="184" spans="2:33" ht="25.5" x14ac:dyDescent="0.2">
      <c r="B184" s="49"/>
      <c r="C184" s="344"/>
      <c r="D184" s="344"/>
      <c r="E184" s="344"/>
      <c r="F184" s="155"/>
      <c r="G184" s="66" t="s">
        <v>61</v>
      </c>
      <c r="H184" s="19" t="s">
        <v>25</v>
      </c>
      <c r="I184" s="67">
        <v>10</v>
      </c>
      <c r="J184" s="19">
        <v>10</v>
      </c>
      <c r="K184" s="8">
        <v>1</v>
      </c>
      <c r="L184" s="113" t="s">
        <v>211</v>
      </c>
      <c r="M184" s="113" t="s">
        <v>211</v>
      </c>
      <c r="N184" s="113" t="s">
        <v>211</v>
      </c>
      <c r="O184" s="6">
        <f>SUM(K184:N184)</f>
        <v>1</v>
      </c>
      <c r="P184" s="113" t="s">
        <v>211</v>
      </c>
      <c r="Q184" s="113" t="s">
        <v>211</v>
      </c>
      <c r="R184" s="8">
        <v>1</v>
      </c>
      <c r="S184" s="113" t="s">
        <v>211</v>
      </c>
      <c r="T184" s="6">
        <f t="shared" si="44"/>
        <v>1</v>
      </c>
      <c r="U184" s="113"/>
      <c r="V184" s="8"/>
      <c r="W184" s="113"/>
      <c r="X184" s="113"/>
      <c r="Y184" s="6"/>
      <c r="Z184" s="6">
        <f t="shared" si="42"/>
        <v>2</v>
      </c>
      <c r="AA184" s="70">
        <f t="shared" si="43"/>
        <v>0.2</v>
      </c>
      <c r="AB184" s="8"/>
      <c r="AC184" s="8"/>
    </row>
    <row r="185" spans="2:33" ht="25.5" x14ac:dyDescent="0.2">
      <c r="B185" s="49"/>
      <c r="C185" s="344"/>
      <c r="D185" s="344"/>
      <c r="E185" s="344"/>
      <c r="F185" s="155"/>
      <c r="G185" s="66" t="s">
        <v>197</v>
      </c>
      <c r="H185" s="19" t="s">
        <v>25</v>
      </c>
      <c r="I185" s="67">
        <v>300</v>
      </c>
      <c r="J185" s="19">
        <v>300</v>
      </c>
      <c r="K185" s="8">
        <v>20</v>
      </c>
      <c r="L185" s="8">
        <v>26</v>
      </c>
      <c r="M185" s="8">
        <v>30</v>
      </c>
      <c r="N185" s="8">
        <v>41</v>
      </c>
      <c r="O185" s="6">
        <f>SUM(K185:N185)</f>
        <v>117</v>
      </c>
      <c r="P185" s="8">
        <v>47</v>
      </c>
      <c r="Q185" s="8">
        <v>41</v>
      </c>
      <c r="R185" s="8">
        <v>57</v>
      </c>
      <c r="S185" s="8">
        <v>34</v>
      </c>
      <c r="T185" s="6">
        <f t="shared" si="44"/>
        <v>179</v>
      </c>
      <c r="U185" s="8"/>
      <c r="V185" s="8"/>
      <c r="W185" s="8"/>
      <c r="X185" s="8"/>
      <c r="Y185" s="6"/>
      <c r="Z185" s="6">
        <f t="shared" si="42"/>
        <v>296</v>
      </c>
      <c r="AA185" s="70">
        <f t="shared" si="43"/>
        <v>0.98666666666666669</v>
      </c>
      <c r="AB185" s="8"/>
      <c r="AC185" s="8"/>
    </row>
    <row r="186" spans="2:33" ht="38.25" x14ac:dyDescent="0.2">
      <c r="B186" s="49"/>
      <c r="C186" s="332"/>
      <c r="D186" s="333"/>
      <c r="E186" s="334"/>
      <c r="F186" s="155"/>
      <c r="G186" s="66" t="s">
        <v>62</v>
      </c>
      <c r="H186" s="19" t="s">
        <v>25</v>
      </c>
      <c r="I186" s="67">
        <v>175</v>
      </c>
      <c r="J186" s="19">
        <v>175</v>
      </c>
      <c r="K186" s="113" t="s">
        <v>211</v>
      </c>
      <c r="L186" s="113" t="s">
        <v>211</v>
      </c>
      <c r="M186" s="8">
        <v>4</v>
      </c>
      <c r="N186" s="8">
        <v>4</v>
      </c>
      <c r="O186" s="109" t="s">
        <v>392</v>
      </c>
      <c r="P186" s="8">
        <v>1</v>
      </c>
      <c r="Q186" s="113" t="s">
        <v>211</v>
      </c>
      <c r="R186" s="8" t="s">
        <v>211</v>
      </c>
      <c r="S186" s="113" t="s">
        <v>211</v>
      </c>
      <c r="T186" s="6">
        <f t="shared" si="44"/>
        <v>1</v>
      </c>
      <c r="U186" s="8"/>
      <c r="V186" s="8"/>
      <c r="W186" s="8"/>
      <c r="X186" s="8"/>
      <c r="Y186" s="6"/>
      <c r="Z186" s="109">
        <f t="shared" si="42"/>
        <v>9</v>
      </c>
      <c r="AA186" s="70">
        <f t="shared" si="43"/>
        <v>5.1428571428571428E-2</v>
      </c>
      <c r="AB186" s="8"/>
      <c r="AC186" s="8"/>
    </row>
    <row r="187" spans="2:33" ht="28.5" customHeight="1" x14ac:dyDescent="0.2">
      <c r="B187" s="49"/>
      <c r="C187" s="344"/>
      <c r="D187" s="344"/>
      <c r="E187" s="344"/>
      <c r="F187" s="155"/>
      <c r="G187" s="66" t="s">
        <v>63</v>
      </c>
      <c r="H187" s="19" t="s">
        <v>25</v>
      </c>
      <c r="I187" s="67">
        <v>100</v>
      </c>
      <c r="J187" s="19">
        <v>100</v>
      </c>
      <c r="K187" s="113" t="s">
        <v>211</v>
      </c>
      <c r="L187" s="113" t="s">
        <v>211</v>
      </c>
      <c r="M187" s="113" t="s">
        <v>211</v>
      </c>
      <c r="N187" s="113" t="s">
        <v>211</v>
      </c>
      <c r="O187" s="109" t="s">
        <v>211</v>
      </c>
      <c r="P187" s="8">
        <v>1</v>
      </c>
      <c r="Q187" s="113" t="s">
        <v>211</v>
      </c>
      <c r="R187" s="8" t="s">
        <v>211</v>
      </c>
      <c r="S187" s="8">
        <v>3</v>
      </c>
      <c r="T187" s="6">
        <f t="shared" si="44"/>
        <v>4</v>
      </c>
      <c r="U187" s="8"/>
      <c r="V187" s="113"/>
      <c r="W187" s="8"/>
      <c r="X187" s="8"/>
      <c r="Y187" s="6"/>
      <c r="Z187" s="109">
        <f t="shared" si="42"/>
        <v>4</v>
      </c>
      <c r="AA187" s="70">
        <f t="shared" si="43"/>
        <v>0.04</v>
      </c>
      <c r="AB187" s="8"/>
      <c r="AC187" s="8"/>
    </row>
    <row r="188" spans="2:33" ht="67.5" customHeight="1" x14ac:dyDescent="0.2">
      <c r="B188" s="49"/>
      <c r="C188" s="344"/>
      <c r="D188" s="344"/>
      <c r="E188" s="344"/>
      <c r="F188" s="66" t="s">
        <v>288</v>
      </c>
      <c r="G188" s="51"/>
      <c r="H188" s="162" t="s">
        <v>51</v>
      </c>
      <c r="I188" s="7">
        <v>6</v>
      </c>
      <c r="J188" s="162">
        <v>8</v>
      </c>
      <c r="K188" s="114" t="s">
        <v>211</v>
      </c>
      <c r="L188" s="114" t="s">
        <v>211</v>
      </c>
      <c r="M188" s="114" t="s">
        <v>211</v>
      </c>
      <c r="N188" s="114" t="s">
        <v>211</v>
      </c>
      <c r="O188" s="110" t="s">
        <v>211</v>
      </c>
      <c r="P188" s="114" t="s">
        <v>211</v>
      </c>
      <c r="Q188" s="114" t="s">
        <v>211</v>
      </c>
      <c r="R188" s="114" t="s">
        <v>211</v>
      </c>
      <c r="S188" s="114" t="s">
        <v>211</v>
      </c>
      <c r="T188" s="114" t="s">
        <v>211</v>
      </c>
      <c r="U188" s="114" t="s">
        <v>211</v>
      </c>
      <c r="V188" s="114" t="s">
        <v>211</v>
      </c>
      <c r="W188" s="114" t="s">
        <v>211</v>
      </c>
      <c r="X188" s="114" t="s">
        <v>211</v>
      </c>
      <c r="Y188" s="114" t="s">
        <v>211</v>
      </c>
      <c r="Z188" s="114" t="s">
        <v>211</v>
      </c>
      <c r="AA188" s="114" t="s">
        <v>211</v>
      </c>
      <c r="AB188" s="9"/>
      <c r="AC188" s="47" t="s">
        <v>284</v>
      </c>
    </row>
    <row r="189" spans="2:33" ht="25.5" x14ac:dyDescent="0.2">
      <c r="B189" s="49"/>
      <c r="C189" s="344"/>
      <c r="D189" s="344"/>
      <c r="E189" s="344"/>
      <c r="F189" s="155"/>
      <c r="G189" s="66" t="s">
        <v>64</v>
      </c>
      <c r="H189" s="76" t="s">
        <v>25</v>
      </c>
      <c r="I189" s="67">
        <v>50</v>
      </c>
      <c r="J189" s="19">
        <v>50</v>
      </c>
      <c r="K189" s="8">
        <v>3</v>
      </c>
      <c r="L189" s="8">
        <v>2</v>
      </c>
      <c r="M189" s="8">
        <v>6</v>
      </c>
      <c r="N189" s="113" t="s">
        <v>211</v>
      </c>
      <c r="O189" s="109">
        <f>+K189+L189+M189+N189</f>
        <v>11</v>
      </c>
      <c r="P189" s="8">
        <v>7</v>
      </c>
      <c r="Q189" s="8">
        <v>3</v>
      </c>
      <c r="R189" s="8">
        <v>6</v>
      </c>
      <c r="S189" s="8">
        <v>5</v>
      </c>
      <c r="T189" s="6">
        <f t="shared" ref="T189:T192" si="45">SUM(P189+Q189+R189+S189)</f>
        <v>21</v>
      </c>
      <c r="U189" s="8"/>
      <c r="V189" s="8"/>
      <c r="W189" s="8"/>
      <c r="X189" s="8"/>
      <c r="Y189" s="6"/>
      <c r="Z189" s="109">
        <f t="shared" si="42"/>
        <v>32</v>
      </c>
      <c r="AA189" s="70">
        <f>SUM(Z189/J189)</f>
        <v>0.64</v>
      </c>
      <c r="AB189" s="8"/>
      <c r="AC189" s="8"/>
    </row>
    <row r="190" spans="2:33" ht="25.5" x14ac:dyDescent="0.2">
      <c r="B190" s="49"/>
      <c r="C190" s="344"/>
      <c r="D190" s="344"/>
      <c r="E190" s="344"/>
      <c r="F190" s="155"/>
      <c r="G190" s="66" t="s">
        <v>65</v>
      </c>
      <c r="H190" s="76" t="s">
        <v>25</v>
      </c>
      <c r="I190" s="67">
        <v>10</v>
      </c>
      <c r="J190" s="19">
        <v>10</v>
      </c>
      <c r="K190" s="113" t="s">
        <v>211</v>
      </c>
      <c r="L190" s="113" t="s">
        <v>211</v>
      </c>
      <c r="M190" s="113" t="s">
        <v>351</v>
      </c>
      <c r="N190" s="113" t="s">
        <v>353</v>
      </c>
      <c r="O190" s="109" t="s">
        <v>355</v>
      </c>
      <c r="P190" s="113" t="s">
        <v>211</v>
      </c>
      <c r="Q190" s="113" t="s">
        <v>211</v>
      </c>
      <c r="R190" s="113" t="s">
        <v>211</v>
      </c>
      <c r="S190" s="113" t="s">
        <v>211</v>
      </c>
      <c r="T190" s="113" t="s">
        <v>211</v>
      </c>
      <c r="U190" s="113"/>
      <c r="V190" s="113"/>
      <c r="W190" s="113"/>
      <c r="X190" s="113"/>
      <c r="Y190" s="113"/>
      <c r="Z190" s="109">
        <f t="shared" si="42"/>
        <v>3</v>
      </c>
      <c r="AA190" s="70">
        <f>SUM(Z190/J190)</f>
        <v>0.3</v>
      </c>
      <c r="AB190" s="8"/>
      <c r="AC190" s="8"/>
    </row>
    <row r="191" spans="2:33" ht="18" customHeight="1" x14ac:dyDescent="0.2">
      <c r="B191" s="49"/>
      <c r="C191" s="344"/>
      <c r="D191" s="344"/>
      <c r="E191" s="344"/>
      <c r="F191" s="155"/>
      <c r="G191" s="66" t="s">
        <v>66</v>
      </c>
      <c r="H191" s="76" t="s">
        <v>25</v>
      </c>
      <c r="I191" s="67">
        <v>1</v>
      </c>
      <c r="J191" s="19">
        <v>1</v>
      </c>
      <c r="K191" s="113" t="s">
        <v>211</v>
      </c>
      <c r="L191" s="113" t="s">
        <v>211</v>
      </c>
      <c r="M191" s="113" t="s">
        <v>211</v>
      </c>
      <c r="N191" s="113" t="s">
        <v>211</v>
      </c>
      <c r="O191" s="109" t="s">
        <v>211</v>
      </c>
      <c r="P191" s="113" t="s">
        <v>211</v>
      </c>
      <c r="Q191" s="113" t="s">
        <v>211</v>
      </c>
      <c r="R191" s="113" t="s">
        <v>211</v>
      </c>
      <c r="S191" s="113" t="s">
        <v>211</v>
      </c>
      <c r="T191" s="113" t="s">
        <v>211</v>
      </c>
      <c r="U191" s="113"/>
      <c r="V191" s="113"/>
      <c r="W191" s="113"/>
      <c r="X191" s="113"/>
      <c r="Y191" s="113"/>
      <c r="Z191" s="109" t="s">
        <v>211</v>
      </c>
      <c r="AA191" s="109" t="s">
        <v>211</v>
      </c>
      <c r="AB191" s="22"/>
      <c r="AC191" s="22"/>
    </row>
    <row r="192" spans="2:33" ht="77.25" customHeight="1" x14ac:dyDescent="0.2">
      <c r="B192" s="49"/>
      <c r="C192" s="164"/>
      <c r="D192" s="165"/>
      <c r="E192" s="166"/>
      <c r="F192" s="66" t="s">
        <v>289</v>
      </c>
      <c r="G192" s="51"/>
      <c r="H192" s="162" t="s">
        <v>51</v>
      </c>
      <c r="I192" s="7">
        <v>360</v>
      </c>
      <c r="J192" s="7">
        <v>360</v>
      </c>
      <c r="K192" s="5">
        <v>26</v>
      </c>
      <c r="L192" s="5">
        <v>18</v>
      </c>
      <c r="M192" s="5">
        <v>26</v>
      </c>
      <c r="N192" s="5">
        <v>32</v>
      </c>
      <c r="O192" s="7">
        <f>SUM(K192:N192)</f>
        <v>102</v>
      </c>
      <c r="P192" s="5">
        <v>57</v>
      </c>
      <c r="Q192" s="5">
        <v>29</v>
      </c>
      <c r="R192" s="5">
        <v>23</v>
      </c>
      <c r="S192" s="5">
        <v>20</v>
      </c>
      <c r="T192" s="7">
        <f t="shared" si="45"/>
        <v>129</v>
      </c>
      <c r="U192" s="5"/>
      <c r="V192" s="114"/>
      <c r="W192" s="114"/>
      <c r="X192" s="114"/>
      <c r="Y192" s="7"/>
      <c r="Z192" s="7">
        <f t="shared" si="42"/>
        <v>231</v>
      </c>
      <c r="AA192" s="42">
        <f>SUM(Z192/J192)</f>
        <v>0.64166666666666672</v>
      </c>
      <c r="AB192" s="22"/>
      <c r="AC192" s="47"/>
    </row>
    <row r="193" spans="2:33" ht="68.25" customHeight="1" x14ac:dyDescent="0.2">
      <c r="B193" s="49"/>
      <c r="C193" s="332"/>
      <c r="D193" s="333"/>
      <c r="E193" s="334"/>
      <c r="F193" s="53"/>
      <c r="G193" s="66" t="s">
        <v>164</v>
      </c>
      <c r="H193" s="156" t="s">
        <v>28</v>
      </c>
      <c r="I193" s="67">
        <v>24</v>
      </c>
      <c r="J193" s="19">
        <v>24</v>
      </c>
      <c r="K193" s="113" t="s">
        <v>211</v>
      </c>
      <c r="L193" s="113" t="s">
        <v>211</v>
      </c>
      <c r="M193" s="113" t="s">
        <v>211</v>
      </c>
      <c r="N193" s="8">
        <v>1</v>
      </c>
      <c r="O193" s="109" t="s">
        <v>353</v>
      </c>
      <c r="P193" s="113" t="s">
        <v>211</v>
      </c>
      <c r="Q193" s="113" t="s">
        <v>211</v>
      </c>
      <c r="R193" s="113" t="s">
        <v>211</v>
      </c>
      <c r="S193" s="113" t="s">
        <v>211</v>
      </c>
      <c r="T193" s="113" t="s">
        <v>211</v>
      </c>
      <c r="U193" s="8"/>
      <c r="V193" s="8"/>
      <c r="W193" s="113"/>
      <c r="X193" s="113"/>
      <c r="Y193" s="6"/>
      <c r="Z193" s="109">
        <f t="shared" si="42"/>
        <v>1</v>
      </c>
      <c r="AA193" s="70">
        <f>SUM(Z193/J193)</f>
        <v>4.1666666666666664E-2</v>
      </c>
      <c r="AB193" s="22"/>
      <c r="AC193" s="9"/>
    </row>
    <row r="194" spans="2:33" ht="51" customHeight="1" x14ac:dyDescent="0.2">
      <c r="B194" s="49"/>
      <c r="C194" s="332"/>
      <c r="D194" s="333"/>
      <c r="E194" s="334"/>
      <c r="F194" s="66" t="s">
        <v>407</v>
      </c>
      <c r="H194" s="19" t="s">
        <v>51</v>
      </c>
      <c r="I194" s="113" t="s">
        <v>211</v>
      </c>
      <c r="J194" s="114" t="s">
        <v>418</v>
      </c>
      <c r="K194" s="113"/>
      <c r="L194" s="113"/>
      <c r="M194" s="113"/>
      <c r="N194" s="8"/>
      <c r="O194" s="114" t="s">
        <v>211</v>
      </c>
      <c r="P194" s="114" t="s">
        <v>211</v>
      </c>
      <c r="Q194" s="114" t="s">
        <v>211</v>
      </c>
      <c r="R194" s="114" t="s">
        <v>211</v>
      </c>
      <c r="S194" s="114" t="s">
        <v>211</v>
      </c>
      <c r="T194" s="114" t="s">
        <v>211</v>
      </c>
      <c r="U194" s="5"/>
      <c r="V194" s="5"/>
      <c r="W194" s="114"/>
      <c r="X194" s="114"/>
      <c r="Y194" s="7"/>
      <c r="Z194" s="114" t="s">
        <v>211</v>
      </c>
      <c r="AA194" s="42" t="s">
        <v>211</v>
      </c>
      <c r="AB194" s="22"/>
      <c r="AC194" s="9"/>
    </row>
    <row r="195" spans="2:33" s="188" customFormat="1" ht="18" customHeight="1" x14ac:dyDescent="0.2">
      <c r="B195" s="351" t="s">
        <v>165</v>
      </c>
      <c r="C195" s="352"/>
      <c r="D195" s="352"/>
      <c r="E195" s="352"/>
      <c r="F195" s="352"/>
      <c r="G195" s="352"/>
      <c r="H195" s="352"/>
      <c r="I195" s="352"/>
      <c r="J195" s="352"/>
      <c r="K195" s="352"/>
      <c r="L195" s="352"/>
      <c r="M195" s="352"/>
      <c r="N195" s="352"/>
      <c r="O195" s="352"/>
      <c r="P195" s="352"/>
      <c r="Q195" s="352"/>
      <c r="R195" s="352"/>
      <c r="S195" s="352"/>
      <c r="T195" s="352"/>
      <c r="U195" s="352"/>
      <c r="V195" s="352"/>
      <c r="W195" s="352"/>
      <c r="X195" s="352"/>
      <c r="Y195" s="352"/>
      <c r="Z195" s="352"/>
      <c r="AA195" s="352"/>
      <c r="AB195" s="352"/>
      <c r="AC195" s="225"/>
    </row>
    <row r="196" spans="2:33" s="188" customFormat="1" ht="31.5" customHeight="1" x14ac:dyDescent="0.2">
      <c r="B196" s="349" t="s">
        <v>102</v>
      </c>
      <c r="C196" s="349"/>
      <c r="D196" s="349"/>
      <c r="E196" s="349"/>
      <c r="F196" s="367" t="s">
        <v>181</v>
      </c>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row>
    <row r="197" spans="2:33" s="188" customFormat="1" ht="16.5" customHeight="1" x14ac:dyDescent="0.2">
      <c r="B197" s="368" t="s">
        <v>103</v>
      </c>
      <c r="C197" s="368"/>
      <c r="D197" s="368"/>
      <c r="E197" s="368"/>
      <c r="F197" s="386" t="s">
        <v>166</v>
      </c>
      <c r="G197" s="386"/>
      <c r="H197" s="386"/>
      <c r="I197" s="386"/>
      <c r="J197" s="386"/>
      <c r="K197" s="386"/>
      <c r="L197" s="386"/>
      <c r="M197" s="386"/>
      <c r="N197" s="386"/>
      <c r="O197" s="386"/>
      <c r="P197" s="386"/>
      <c r="Q197" s="386"/>
      <c r="R197" s="386"/>
      <c r="S197" s="386"/>
      <c r="T197" s="386"/>
      <c r="U197" s="386"/>
      <c r="V197" s="386"/>
      <c r="W197" s="386"/>
      <c r="X197" s="386"/>
      <c r="Y197" s="386"/>
      <c r="Z197" s="386"/>
      <c r="AA197" s="386"/>
      <c r="AB197" s="386"/>
      <c r="AC197" s="386"/>
    </row>
    <row r="198" spans="2:33" ht="21" customHeight="1" x14ac:dyDescent="0.2">
      <c r="B198" s="90"/>
      <c r="C198" s="345" t="s">
        <v>235</v>
      </c>
      <c r="D198" s="346"/>
      <c r="E198" s="346"/>
      <c r="F198" s="346"/>
      <c r="G198" s="346"/>
      <c r="H198" s="346"/>
      <c r="I198" s="346"/>
      <c r="J198" s="346"/>
      <c r="K198" s="346"/>
      <c r="L198" s="346"/>
      <c r="M198" s="346"/>
      <c r="N198" s="346"/>
      <c r="O198" s="346"/>
      <c r="P198" s="346"/>
      <c r="Q198" s="346"/>
      <c r="R198" s="346"/>
      <c r="S198" s="346"/>
      <c r="T198" s="346"/>
      <c r="U198" s="346"/>
      <c r="V198" s="346"/>
      <c r="W198" s="346"/>
      <c r="X198" s="346"/>
      <c r="Y198" s="346"/>
      <c r="Z198" s="346"/>
      <c r="AA198" s="346"/>
      <c r="AB198" s="346"/>
      <c r="AC198" s="347"/>
    </row>
    <row r="199" spans="2:33" ht="49.5" customHeight="1" x14ac:dyDescent="0.2">
      <c r="B199" s="191" t="s">
        <v>139</v>
      </c>
      <c r="C199" s="379" t="s">
        <v>94</v>
      </c>
      <c r="D199" s="380"/>
      <c r="E199" s="381"/>
      <c r="F199" s="192" t="s">
        <v>95</v>
      </c>
      <c r="G199" s="193" t="s">
        <v>4</v>
      </c>
      <c r="H199" s="194" t="s">
        <v>3</v>
      </c>
      <c r="I199" s="195" t="s">
        <v>96</v>
      </c>
      <c r="J199" s="195" t="s">
        <v>150</v>
      </c>
      <c r="K199" s="1" t="s">
        <v>5</v>
      </c>
      <c r="L199" s="1" t="s">
        <v>6</v>
      </c>
      <c r="M199" s="1" t="s">
        <v>7</v>
      </c>
      <c r="N199" s="1" t="s">
        <v>8</v>
      </c>
      <c r="O199" s="35" t="s">
        <v>157</v>
      </c>
      <c r="P199" s="2" t="s">
        <v>9</v>
      </c>
      <c r="Q199" s="2" t="s">
        <v>10</v>
      </c>
      <c r="R199" s="2" t="s">
        <v>11</v>
      </c>
      <c r="S199" s="2" t="s">
        <v>12</v>
      </c>
      <c r="T199" s="35" t="s">
        <v>158</v>
      </c>
      <c r="U199" s="2" t="s">
        <v>13</v>
      </c>
      <c r="V199" s="2" t="s">
        <v>14</v>
      </c>
      <c r="W199" s="2" t="s">
        <v>15</v>
      </c>
      <c r="X199" s="2" t="s">
        <v>16</v>
      </c>
      <c r="Y199" s="35" t="s">
        <v>159</v>
      </c>
      <c r="Z199" s="196" t="s">
        <v>97</v>
      </c>
      <c r="AA199" s="196" t="s">
        <v>98</v>
      </c>
      <c r="AB199" s="197" t="s">
        <v>248</v>
      </c>
      <c r="AC199" s="256" t="s">
        <v>99</v>
      </c>
    </row>
    <row r="200" spans="2:33" ht="80.25" customHeight="1" x14ac:dyDescent="0.2">
      <c r="B200" s="31">
        <v>5</v>
      </c>
      <c r="C200" s="364" t="s">
        <v>286</v>
      </c>
      <c r="D200" s="365"/>
      <c r="E200" s="366"/>
      <c r="F200" s="36"/>
      <c r="G200" s="36"/>
      <c r="H200" s="162" t="s">
        <v>24</v>
      </c>
      <c r="I200" s="10">
        <v>1500</v>
      </c>
      <c r="J200" s="263">
        <v>1241</v>
      </c>
      <c r="K200" s="113" t="s">
        <v>211</v>
      </c>
      <c r="L200" s="113" t="s">
        <v>211</v>
      </c>
      <c r="M200" s="114" t="s">
        <v>211</v>
      </c>
      <c r="N200" s="114" t="s">
        <v>211</v>
      </c>
      <c r="O200" s="114" t="s">
        <v>211</v>
      </c>
      <c r="P200" s="114" t="s">
        <v>211</v>
      </c>
      <c r="Q200" s="114" t="s">
        <v>211</v>
      </c>
      <c r="R200" s="114" t="s">
        <v>211</v>
      </c>
      <c r="S200" s="114" t="s">
        <v>211</v>
      </c>
      <c r="T200" s="114" t="s">
        <v>211</v>
      </c>
      <c r="U200" s="114"/>
      <c r="V200" s="114"/>
      <c r="W200" s="114"/>
      <c r="X200" s="114"/>
      <c r="Y200" s="114"/>
      <c r="Z200" s="114" t="s">
        <v>211</v>
      </c>
      <c r="AA200" s="114" t="s">
        <v>211</v>
      </c>
      <c r="AB200" s="3">
        <v>7550879</v>
      </c>
      <c r="AC200" s="270" t="s">
        <v>410</v>
      </c>
      <c r="AD200" s="49"/>
    </row>
    <row r="201" spans="2:33" ht="113.25" customHeight="1" x14ac:dyDescent="0.2">
      <c r="B201" s="211"/>
      <c r="C201" s="383"/>
      <c r="D201" s="384"/>
      <c r="E201" s="385"/>
      <c r="F201" s="291" t="s">
        <v>231</v>
      </c>
      <c r="G201" s="36"/>
      <c r="H201" s="19" t="s">
        <v>24</v>
      </c>
      <c r="I201" s="10">
        <v>1000</v>
      </c>
      <c r="J201" s="263">
        <v>875</v>
      </c>
      <c r="K201" s="113" t="s">
        <v>211</v>
      </c>
      <c r="L201" s="113" t="s">
        <v>211</v>
      </c>
      <c r="M201" s="114" t="s">
        <v>211</v>
      </c>
      <c r="N201" s="114" t="s">
        <v>211</v>
      </c>
      <c r="O201" s="114" t="s">
        <v>211</v>
      </c>
      <c r="P201" s="114" t="s">
        <v>211</v>
      </c>
      <c r="Q201" s="114" t="s">
        <v>211</v>
      </c>
      <c r="R201" s="114" t="s">
        <v>211</v>
      </c>
      <c r="S201" s="114" t="s">
        <v>211</v>
      </c>
      <c r="T201" s="114" t="s">
        <v>211</v>
      </c>
      <c r="U201" s="114"/>
      <c r="V201" s="114"/>
      <c r="W201" s="114"/>
      <c r="X201" s="114"/>
      <c r="Y201" s="114"/>
      <c r="Z201" s="114" t="s">
        <v>211</v>
      </c>
      <c r="AA201" s="114" t="s">
        <v>211</v>
      </c>
      <c r="AB201" s="329" t="s">
        <v>414</v>
      </c>
      <c r="AC201" s="330"/>
      <c r="AD201" s="331"/>
      <c r="AE201" s="134"/>
    </row>
    <row r="202" spans="2:33" ht="108.75" customHeight="1" x14ac:dyDescent="0.2">
      <c r="B202" s="211"/>
      <c r="C202" s="383"/>
      <c r="D202" s="384"/>
      <c r="E202" s="385"/>
      <c r="F202" s="291" t="s">
        <v>232</v>
      </c>
      <c r="G202" s="36"/>
      <c r="H202" s="19" t="s">
        <v>51</v>
      </c>
      <c r="I202" s="7">
        <v>3</v>
      </c>
      <c r="J202" s="299">
        <v>10</v>
      </c>
      <c r="K202" s="114" t="s">
        <v>211</v>
      </c>
      <c r="L202" s="114" t="s">
        <v>211</v>
      </c>
      <c r="M202" s="114" t="s">
        <v>211</v>
      </c>
      <c r="N202" s="114" t="s">
        <v>211</v>
      </c>
      <c r="O202" s="114" t="s">
        <v>211</v>
      </c>
      <c r="P202" s="114" t="s">
        <v>211</v>
      </c>
      <c r="Q202" s="114" t="s">
        <v>211</v>
      </c>
      <c r="R202" s="114" t="s">
        <v>211</v>
      </c>
      <c r="S202" s="114" t="s">
        <v>211</v>
      </c>
      <c r="T202" s="114" t="s">
        <v>211</v>
      </c>
      <c r="U202" s="114"/>
      <c r="V202" s="5"/>
      <c r="W202" s="5"/>
      <c r="X202" s="114"/>
      <c r="Y202" s="7"/>
      <c r="Z202" s="114" t="s">
        <v>211</v>
      </c>
      <c r="AA202" s="114" t="s">
        <v>211</v>
      </c>
      <c r="AB202" s="329" t="s">
        <v>415</v>
      </c>
      <c r="AC202" s="330"/>
      <c r="AD202" s="331"/>
    </row>
    <row r="203" spans="2:33" ht="63.75" customHeight="1" x14ac:dyDescent="0.2">
      <c r="B203" s="211"/>
      <c r="C203" s="383"/>
      <c r="D203" s="384"/>
      <c r="E203" s="385"/>
      <c r="F203" s="291" t="s">
        <v>290</v>
      </c>
      <c r="G203" s="131"/>
      <c r="H203" s="19" t="s">
        <v>24</v>
      </c>
      <c r="I203" s="6">
        <v>500</v>
      </c>
      <c r="J203" s="263">
        <v>366</v>
      </c>
      <c r="K203" s="113" t="s">
        <v>211</v>
      </c>
      <c r="L203" s="113" t="s">
        <v>211</v>
      </c>
      <c r="M203" s="114" t="s">
        <v>211</v>
      </c>
      <c r="N203" s="113" t="s">
        <v>211</v>
      </c>
      <c r="O203" s="114" t="s">
        <v>211</v>
      </c>
      <c r="P203" s="114" t="s">
        <v>211</v>
      </c>
      <c r="Q203" s="114" t="s">
        <v>211</v>
      </c>
      <c r="R203" s="114" t="s">
        <v>211</v>
      </c>
      <c r="S203" s="114" t="s">
        <v>211</v>
      </c>
      <c r="T203" s="114" t="s">
        <v>211</v>
      </c>
      <c r="U203" s="143"/>
      <c r="V203" s="113"/>
      <c r="W203" s="113"/>
      <c r="X203" s="113"/>
      <c r="Y203" s="113"/>
      <c r="Z203" s="114" t="s">
        <v>211</v>
      </c>
      <c r="AA203" s="114" t="s">
        <v>211</v>
      </c>
      <c r="AB203" s="212"/>
      <c r="AC203" s="400"/>
      <c r="AD203" s="400"/>
    </row>
    <row r="204" spans="2:33" s="188" customFormat="1" ht="15.75" customHeight="1" x14ac:dyDescent="0.2">
      <c r="B204" s="351" t="s">
        <v>154</v>
      </c>
      <c r="C204" s="352"/>
      <c r="D204" s="352"/>
      <c r="E204" s="352"/>
      <c r="F204" s="352"/>
      <c r="G204" s="352"/>
      <c r="H204" s="352"/>
      <c r="I204" s="352"/>
      <c r="J204" s="352"/>
      <c r="K204" s="352"/>
      <c r="L204" s="352"/>
      <c r="M204" s="352"/>
      <c r="N204" s="352"/>
      <c r="O204" s="352"/>
      <c r="P204" s="352"/>
      <c r="Q204" s="352"/>
      <c r="R204" s="352"/>
      <c r="S204" s="352"/>
      <c r="T204" s="352"/>
      <c r="U204" s="352"/>
      <c r="V204" s="352"/>
      <c r="W204" s="352"/>
      <c r="X204" s="352"/>
      <c r="Y204" s="352"/>
      <c r="Z204" s="352"/>
      <c r="AA204" s="352"/>
      <c r="AB204" s="352"/>
      <c r="AC204" s="221"/>
      <c r="AD204" s="238"/>
      <c r="AE204" s="210"/>
      <c r="AF204" s="210"/>
      <c r="AG204" s="210"/>
    </row>
    <row r="205" spans="2:33" s="188" customFormat="1" ht="15" customHeight="1" x14ac:dyDescent="0.2">
      <c r="B205" s="393" t="s">
        <v>102</v>
      </c>
      <c r="C205" s="394"/>
      <c r="D205" s="394"/>
      <c r="E205" s="395"/>
      <c r="F205" s="397" t="s">
        <v>189</v>
      </c>
      <c r="G205" s="398"/>
      <c r="H205" s="398"/>
      <c r="I205" s="398"/>
      <c r="J205" s="398"/>
      <c r="K205" s="398"/>
      <c r="L205" s="398"/>
      <c r="M205" s="398"/>
      <c r="N205" s="398"/>
      <c r="O205" s="398"/>
      <c r="P205" s="398"/>
      <c r="Q205" s="398"/>
      <c r="R205" s="398"/>
      <c r="S205" s="398"/>
      <c r="T205" s="398"/>
      <c r="U205" s="398"/>
      <c r="V205" s="398"/>
      <c r="W205" s="398"/>
      <c r="X205" s="398"/>
      <c r="Y205" s="398"/>
      <c r="Z205" s="398"/>
      <c r="AA205" s="398"/>
      <c r="AB205" s="398"/>
      <c r="AC205" s="399"/>
    </row>
    <row r="206" spans="2:33" s="188" customFormat="1" ht="16.5" customHeight="1" x14ac:dyDescent="0.2">
      <c r="B206" s="404" t="s">
        <v>103</v>
      </c>
      <c r="C206" s="405"/>
      <c r="D206" s="405"/>
      <c r="E206" s="406"/>
      <c r="F206" s="397" t="s">
        <v>123</v>
      </c>
      <c r="G206" s="398"/>
      <c r="H206" s="398"/>
      <c r="I206" s="398"/>
      <c r="J206" s="398"/>
      <c r="K206" s="398"/>
      <c r="L206" s="398"/>
      <c r="M206" s="398"/>
      <c r="N206" s="398"/>
      <c r="O206" s="398"/>
      <c r="P206" s="398"/>
      <c r="Q206" s="398"/>
      <c r="R206" s="398"/>
      <c r="S206" s="398"/>
      <c r="T206" s="398"/>
      <c r="U206" s="398"/>
      <c r="V206" s="398"/>
      <c r="W206" s="398"/>
      <c r="X206" s="398"/>
      <c r="Y206" s="398"/>
      <c r="Z206" s="398"/>
      <c r="AA206" s="398"/>
      <c r="AB206" s="398"/>
      <c r="AC206" s="399"/>
    </row>
    <row r="207" spans="2:33" ht="15.75" customHeight="1" x14ac:dyDescent="0.2">
      <c r="B207" s="90"/>
      <c r="C207" s="345" t="s">
        <v>235</v>
      </c>
      <c r="D207" s="346"/>
      <c r="E207" s="346"/>
      <c r="F207" s="346"/>
      <c r="G207" s="346"/>
      <c r="H207" s="346"/>
      <c r="I207" s="346"/>
      <c r="J207" s="346"/>
      <c r="K207" s="346"/>
      <c r="L207" s="346"/>
      <c r="M207" s="346"/>
      <c r="N207" s="346"/>
      <c r="O207" s="346"/>
      <c r="P207" s="346"/>
      <c r="Q207" s="346"/>
      <c r="R207" s="346"/>
      <c r="S207" s="346"/>
      <c r="T207" s="346"/>
      <c r="U207" s="346"/>
      <c r="V207" s="346"/>
      <c r="W207" s="346"/>
      <c r="X207" s="346"/>
      <c r="Y207" s="346"/>
      <c r="Z207" s="346"/>
      <c r="AA207" s="346"/>
      <c r="AB207" s="346"/>
      <c r="AC207" s="347"/>
    </row>
    <row r="208" spans="2:33" ht="49.5" customHeight="1" x14ac:dyDescent="0.2">
      <c r="B208" s="191" t="s">
        <v>139</v>
      </c>
      <c r="C208" s="436" t="s">
        <v>94</v>
      </c>
      <c r="D208" s="437"/>
      <c r="E208" s="438"/>
      <c r="F208" s="192" t="s">
        <v>95</v>
      </c>
      <c r="G208" s="193" t="s">
        <v>4</v>
      </c>
      <c r="H208" s="194" t="s">
        <v>3</v>
      </c>
      <c r="I208" s="195" t="s">
        <v>96</v>
      </c>
      <c r="J208" s="195" t="s">
        <v>150</v>
      </c>
      <c r="K208" s="1" t="s">
        <v>5</v>
      </c>
      <c r="L208" s="1" t="s">
        <v>6</v>
      </c>
      <c r="M208" s="1" t="s">
        <v>7</v>
      </c>
      <c r="N208" s="1" t="s">
        <v>8</v>
      </c>
      <c r="O208" s="35" t="s">
        <v>157</v>
      </c>
      <c r="P208" s="2" t="s">
        <v>9</v>
      </c>
      <c r="Q208" s="2" t="s">
        <v>10</v>
      </c>
      <c r="R208" s="2" t="s">
        <v>11</v>
      </c>
      <c r="S208" s="2" t="s">
        <v>12</v>
      </c>
      <c r="T208" s="35" t="s">
        <v>158</v>
      </c>
      <c r="U208" s="2" t="s">
        <v>13</v>
      </c>
      <c r="V208" s="2" t="s">
        <v>14</v>
      </c>
      <c r="W208" s="2" t="s">
        <v>15</v>
      </c>
      <c r="X208" s="2" t="s">
        <v>16</v>
      </c>
      <c r="Y208" s="35" t="s">
        <v>159</v>
      </c>
      <c r="Z208" s="196" t="s">
        <v>97</v>
      </c>
      <c r="AA208" s="196" t="s">
        <v>98</v>
      </c>
      <c r="AB208" s="197" t="s">
        <v>236</v>
      </c>
      <c r="AC208" s="196" t="s">
        <v>99</v>
      </c>
    </row>
    <row r="209" spans="2:29" ht="25.5" customHeight="1" x14ac:dyDescent="0.2">
      <c r="B209" s="49"/>
      <c r="C209" s="364" t="s">
        <v>123</v>
      </c>
      <c r="D209" s="365"/>
      <c r="E209" s="366"/>
      <c r="F209" s="75" t="s">
        <v>123</v>
      </c>
      <c r="G209" s="36"/>
      <c r="H209" s="23" t="s">
        <v>25</v>
      </c>
      <c r="I209" s="5">
        <f>SUM(I210:I223)</f>
        <v>99</v>
      </c>
      <c r="J209" s="272">
        <v>142</v>
      </c>
      <c r="K209" s="5">
        <f>SUM(K210:K223)</f>
        <v>9</v>
      </c>
      <c r="L209" s="114">
        <f>SUM(L210:L223)</f>
        <v>6</v>
      </c>
      <c r="M209" s="5">
        <v>17</v>
      </c>
      <c r="N209" s="5">
        <v>12</v>
      </c>
      <c r="O209" s="117">
        <f>SUM(K209:N209)</f>
        <v>44</v>
      </c>
      <c r="P209" s="5">
        <v>14</v>
      </c>
      <c r="Q209" s="114" t="s">
        <v>404</v>
      </c>
      <c r="R209" s="114" t="s">
        <v>372</v>
      </c>
      <c r="S209" s="5">
        <v>14</v>
      </c>
      <c r="T209" s="7">
        <f>14+11+10+14</f>
        <v>49</v>
      </c>
      <c r="U209" s="114"/>
      <c r="V209" s="114"/>
      <c r="W209" s="114"/>
      <c r="X209" s="5"/>
      <c r="Y209" s="110"/>
      <c r="Z209" s="117">
        <f>SUM(O209+T209)</f>
        <v>93</v>
      </c>
      <c r="AA209" s="42">
        <f>SUM(Z209/J209)</f>
        <v>0.65492957746478875</v>
      </c>
      <c r="AB209" s="3">
        <v>5122092</v>
      </c>
      <c r="AC209" s="270" t="s">
        <v>436</v>
      </c>
    </row>
    <row r="210" spans="2:29" ht="29.25" customHeight="1" outlineLevel="1" x14ac:dyDescent="0.2">
      <c r="B210" s="49"/>
      <c r="C210" s="170"/>
      <c r="D210" s="171"/>
      <c r="E210" s="172"/>
      <c r="F210" s="19"/>
      <c r="G210" s="308" t="s">
        <v>167</v>
      </c>
      <c r="H210" s="76" t="s">
        <v>25</v>
      </c>
      <c r="I210" s="8">
        <v>13</v>
      </c>
      <c r="J210" s="264">
        <v>13</v>
      </c>
      <c r="K210" s="113" t="s">
        <v>211</v>
      </c>
      <c r="L210" s="8">
        <v>1</v>
      </c>
      <c r="M210" s="8">
        <v>1</v>
      </c>
      <c r="N210" s="8">
        <v>1</v>
      </c>
      <c r="O210" s="113" t="s">
        <v>355</v>
      </c>
      <c r="P210" s="8" t="s">
        <v>211</v>
      </c>
      <c r="Q210" s="113" t="s">
        <v>211</v>
      </c>
      <c r="R210" s="8" t="s">
        <v>211</v>
      </c>
      <c r="S210" s="113" t="s">
        <v>211</v>
      </c>
      <c r="T210" s="6">
        <v>3</v>
      </c>
      <c r="U210" s="8"/>
      <c r="V210" s="8"/>
      <c r="W210" s="113"/>
      <c r="X210" s="8"/>
      <c r="Y210" s="6"/>
      <c r="Z210" s="113" t="s">
        <v>355</v>
      </c>
      <c r="AA210" s="70">
        <f>SUM(Z210/J210)</f>
        <v>0.23076923076923078</v>
      </c>
      <c r="AB210" s="3"/>
      <c r="AC210" s="3"/>
    </row>
    <row r="211" spans="2:29" ht="24.75" customHeight="1" outlineLevel="1" x14ac:dyDescent="0.2">
      <c r="B211" s="49"/>
      <c r="C211" s="372"/>
      <c r="D211" s="344"/>
      <c r="E211" s="344"/>
      <c r="F211" s="162"/>
      <c r="G211" s="308" t="s">
        <v>207</v>
      </c>
      <c r="H211" s="76" t="s">
        <v>25</v>
      </c>
      <c r="I211" s="8">
        <v>13</v>
      </c>
      <c r="J211" s="264">
        <v>16</v>
      </c>
      <c r="K211" s="113" t="s">
        <v>211</v>
      </c>
      <c r="L211" s="8">
        <v>2</v>
      </c>
      <c r="M211" s="8">
        <v>2</v>
      </c>
      <c r="N211" s="113" t="s">
        <v>211</v>
      </c>
      <c r="O211" s="113" t="s">
        <v>374</v>
      </c>
      <c r="P211" s="8">
        <v>1</v>
      </c>
      <c r="Q211" s="8">
        <v>4</v>
      </c>
      <c r="R211" s="113">
        <v>2</v>
      </c>
      <c r="S211" s="8">
        <v>1</v>
      </c>
      <c r="T211" s="6">
        <f t="shared" ref="T211:T224" si="46">SUM(P211+Q211+R211+S211)</f>
        <v>8</v>
      </c>
      <c r="U211" s="8"/>
      <c r="V211" s="8"/>
      <c r="W211" s="113"/>
      <c r="X211" s="8"/>
      <c r="Y211" s="6"/>
      <c r="Z211" s="113" t="s">
        <v>468</v>
      </c>
      <c r="AA211" s="70">
        <f>SUM(Z211/J211)</f>
        <v>0.75</v>
      </c>
      <c r="AB211" s="50"/>
      <c r="AC211" s="3"/>
    </row>
    <row r="212" spans="2:29" ht="37.5" customHeight="1" outlineLevel="1" x14ac:dyDescent="0.2">
      <c r="B212" s="49"/>
      <c r="C212" s="344"/>
      <c r="D212" s="344"/>
      <c r="E212" s="344"/>
      <c r="F212" s="162"/>
      <c r="G212" s="308" t="s">
        <v>343</v>
      </c>
      <c r="H212" s="76" t="s">
        <v>25</v>
      </c>
      <c r="I212" s="8">
        <v>3</v>
      </c>
      <c r="J212" s="8">
        <v>3</v>
      </c>
      <c r="K212" s="113" t="s">
        <v>211</v>
      </c>
      <c r="L212" s="113" t="s">
        <v>211</v>
      </c>
      <c r="M212" s="113" t="s">
        <v>211</v>
      </c>
      <c r="N212" s="113" t="s">
        <v>211</v>
      </c>
      <c r="O212" s="113" t="s">
        <v>211</v>
      </c>
      <c r="P212" s="113" t="s">
        <v>353</v>
      </c>
      <c r="Q212" s="113" t="s">
        <v>211</v>
      </c>
      <c r="R212" s="113" t="s">
        <v>211</v>
      </c>
      <c r="S212" s="113" t="s">
        <v>211</v>
      </c>
      <c r="T212" s="6">
        <f t="shared" si="46"/>
        <v>1</v>
      </c>
      <c r="U212" s="8"/>
      <c r="V212" s="113"/>
      <c r="W212" s="113"/>
      <c r="X212" s="113"/>
      <c r="Y212" s="6"/>
      <c r="Z212" s="113" t="s">
        <v>353</v>
      </c>
      <c r="AA212" s="70">
        <f>SUM(Z212/J212)</f>
        <v>0.33333333333333331</v>
      </c>
      <c r="AB212" s="37"/>
      <c r="AC212" s="37"/>
    </row>
    <row r="213" spans="2:29" ht="34.5" customHeight="1" outlineLevel="1" x14ac:dyDescent="0.2">
      <c r="B213" s="49"/>
      <c r="C213" s="344"/>
      <c r="D213" s="344"/>
      <c r="E213" s="344"/>
      <c r="F213" s="162"/>
      <c r="G213" s="308" t="s">
        <v>344</v>
      </c>
      <c r="H213" s="76" t="s">
        <v>25</v>
      </c>
      <c r="I213" s="8">
        <v>3</v>
      </c>
      <c r="J213" s="8">
        <v>3</v>
      </c>
      <c r="K213" s="113" t="s">
        <v>211</v>
      </c>
      <c r="L213" s="113" t="s">
        <v>211</v>
      </c>
      <c r="M213" s="113" t="s">
        <v>211</v>
      </c>
      <c r="N213" s="113" t="s">
        <v>211</v>
      </c>
      <c r="O213" s="113" t="s">
        <v>211</v>
      </c>
      <c r="P213" s="113" t="s">
        <v>211</v>
      </c>
      <c r="Q213" s="113" t="s">
        <v>211</v>
      </c>
      <c r="R213" s="113" t="s">
        <v>211</v>
      </c>
      <c r="S213" s="113" t="s">
        <v>211</v>
      </c>
      <c r="T213" s="113" t="s">
        <v>211</v>
      </c>
      <c r="U213" s="113"/>
      <c r="V213" s="113"/>
      <c r="W213" s="113"/>
      <c r="X213" s="113"/>
      <c r="Y213" s="113"/>
      <c r="Z213" s="113" t="s">
        <v>211</v>
      </c>
      <c r="AA213" s="113" t="s">
        <v>211</v>
      </c>
      <c r="AB213" s="37"/>
      <c r="AC213" s="41"/>
    </row>
    <row r="214" spans="2:29" ht="45.75" customHeight="1" outlineLevel="1" x14ac:dyDescent="0.2">
      <c r="B214" s="49"/>
      <c r="C214" s="344"/>
      <c r="D214" s="344"/>
      <c r="E214" s="344"/>
      <c r="F214" s="162"/>
      <c r="G214" s="308" t="s">
        <v>345</v>
      </c>
      <c r="H214" s="76" t="s">
        <v>25</v>
      </c>
      <c r="I214" s="8">
        <v>3</v>
      </c>
      <c r="J214" s="8">
        <v>3</v>
      </c>
      <c r="K214" s="113" t="s">
        <v>211</v>
      </c>
      <c r="L214" s="113" t="s">
        <v>211</v>
      </c>
      <c r="M214" s="113" t="s">
        <v>211</v>
      </c>
      <c r="N214" s="113" t="s">
        <v>211</v>
      </c>
      <c r="O214" s="113" t="s">
        <v>211</v>
      </c>
      <c r="P214" s="8" t="s">
        <v>211</v>
      </c>
      <c r="Q214" s="113" t="s">
        <v>211</v>
      </c>
      <c r="R214" s="113" t="s">
        <v>211</v>
      </c>
      <c r="S214" s="113" t="s">
        <v>211</v>
      </c>
      <c r="T214" s="113" t="s">
        <v>211</v>
      </c>
      <c r="U214" s="8"/>
      <c r="V214" s="113"/>
      <c r="W214" s="113"/>
      <c r="X214" s="113"/>
      <c r="Y214" s="6"/>
      <c r="Z214" s="113" t="s">
        <v>211</v>
      </c>
      <c r="AA214" s="113" t="s">
        <v>211</v>
      </c>
      <c r="AB214" s="208"/>
      <c r="AC214" s="208"/>
    </row>
    <row r="215" spans="2:29" ht="45.75" customHeight="1" outlineLevel="1" x14ac:dyDescent="0.2">
      <c r="B215" s="49"/>
      <c r="C215" s="164"/>
      <c r="D215" s="165"/>
      <c r="E215" s="166"/>
      <c r="F215" s="162"/>
      <c r="G215" s="308" t="s">
        <v>346</v>
      </c>
      <c r="H215" s="76" t="s">
        <v>25</v>
      </c>
      <c r="I215" s="8">
        <v>12</v>
      </c>
      <c r="J215" s="8">
        <v>12</v>
      </c>
      <c r="K215" s="113" t="s">
        <v>211</v>
      </c>
      <c r="L215" s="8">
        <v>1</v>
      </c>
      <c r="M215" s="113" t="s">
        <v>211</v>
      </c>
      <c r="N215" s="113" t="s">
        <v>211</v>
      </c>
      <c r="O215" s="113" t="s">
        <v>353</v>
      </c>
      <c r="P215" s="8">
        <v>1</v>
      </c>
      <c r="Q215" s="113" t="s">
        <v>211</v>
      </c>
      <c r="R215" s="8" t="s">
        <v>211</v>
      </c>
      <c r="S215" s="113" t="s">
        <v>211</v>
      </c>
      <c r="T215" s="6">
        <f t="shared" si="46"/>
        <v>1</v>
      </c>
      <c r="U215" s="8"/>
      <c r="V215" s="113"/>
      <c r="W215" s="113"/>
      <c r="X215" s="113"/>
      <c r="Y215" s="6"/>
      <c r="Z215" s="113" t="s">
        <v>351</v>
      </c>
      <c r="AA215" s="255">
        <f>SUM(Z215/J215)</f>
        <v>0.16666666666666666</v>
      </c>
      <c r="AB215" s="208"/>
      <c r="AC215" s="208"/>
    </row>
    <row r="216" spans="2:29" ht="28.5" customHeight="1" outlineLevel="1" x14ac:dyDescent="0.2">
      <c r="B216" s="49"/>
      <c r="C216" s="164"/>
      <c r="D216" s="165"/>
      <c r="E216" s="166"/>
      <c r="F216" s="162"/>
      <c r="G216" s="308" t="s">
        <v>347</v>
      </c>
      <c r="H216" s="76" t="s">
        <v>27</v>
      </c>
      <c r="I216" s="8">
        <v>1</v>
      </c>
      <c r="J216" s="264">
        <v>2</v>
      </c>
      <c r="K216" s="113" t="s">
        <v>211</v>
      </c>
      <c r="L216" s="113" t="s">
        <v>211</v>
      </c>
      <c r="M216" s="113" t="s">
        <v>211</v>
      </c>
      <c r="N216" s="113" t="s">
        <v>211</v>
      </c>
      <c r="O216" s="113" t="s">
        <v>211</v>
      </c>
      <c r="P216" s="8" t="s">
        <v>211</v>
      </c>
      <c r="Q216" s="113" t="s">
        <v>211</v>
      </c>
      <c r="R216" s="113">
        <v>1</v>
      </c>
      <c r="S216" s="8">
        <v>1</v>
      </c>
      <c r="T216" s="6">
        <f t="shared" si="46"/>
        <v>2</v>
      </c>
      <c r="U216" s="113"/>
      <c r="V216" s="113"/>
      <c r="W216" s="113"/>
      <c r="X216" s="113"/>
      <c r="Y216" s="113"/>
      <c r="Z216" s="113" t="s">
        <v>351</v>
      </c>
      <c r="AA216" s="318">
        <f>SUM(Z216/J216)</f>
        <v>1</v>
      </c>
      <c r="AB216" s="208"/>
      <c r="AC216" s="208"/>
    </row>
    <row r="217" spans="2:29" ht="25.5" customHeight="1" outlineLevel="1" x14ac:dyDescent="0.2">
      <c r="B217" s="49"/>
      <c r="C217" s="164"/>
      <c r="D217" s="165"/>
      <c r="E217" s="166"/>
      <c r="F217" s="162"/>
      <c r="G217" s="308" t="s">
        <v>348</v>
      </c>
      <c r="H217" s="76" t="s">
        <v>25</v>
      </c>
      <c r="I217" s="8">
        <v>12</v>
      </c>
      <c r="J217" s="8">
        <v>12</v>
      </c>
      <c r="K217" s="8">
        <v>1</v>
      </c>
      <c r="L217" s="8">
        <v>1</v>
      </c>
      <c r="M217" s="113" t="s">
        <v>353</v>
      </c>
      <c r="N217" s="113" t="s">
        <v>353</v>
      </c>
      <c r="O217" s="6">
        <v>4</v>
      </c>
      <c r="P217" s="8" t="s">
        <v>353</v>
      </c>
      <c r="Q217" s="113" t="s">
        <v>353</v>
      </c>
      <c r="R217" s="8" t="s">
        <v>353</v>
      </c>
      <c r="S217" s="113" t="s">
        <v>211</v>
      </c>
      <c r="T217" s="6">
        <f t="shared" si="46"/>
        <v>3</v>
      </c>
      <c r="U217" s="8"/>
      <c r="V217" s="8"/>
      <c r="W217" s="8"/>
      <c r="X217" s="8"/>
      <c r="Y217" s="6"/>
      <c r="Z217" s="6">
        <v>8</v>
      </c>
      <c r="AA217" s="70">
        <f>SUM(Z217/J217)</f>
        <v>0.66666666666666663</v>
      </c>
      <c r="AB217" s="208"/>
      <c r="AC217" s="208"/>
    </row>
    <row r="218" spans="2:29" ht="12.75" customHeight="1" outlineLevel="1" x14ac:dyDescent="0.2">
      <c r="B218" s="49"/>
      <c r="C218" s="164"/>
      <c r="D218" s="165"/>
      <c r="E218" s="166"/>
      <c r="F218" s="162"/>
      <c r="G218" s="308" t="s">
        <v>168</v>
      </c>
      <c r="H218" s="76" t="s">
        <v>25</v>
      </c>
      <c r="I218" s="8">
        <v>3</v>
      </c>
      <c r="J218" s="8">
        <v>3</v>
      </c>
      <c r="K218" s="113" t="s">
        <v>211</v>
      </c>
      <c r="L218" s="113" t="s">
        <v>211</v>
      </c>
      <c r="M218" s="113" t="s">
        <v>211</v>
      </c>
      <c r="N218" s="8">
        <v>1</v>
      </c>
      <c r="O218" s="113" t="s">
        <v>353</v>
      </c>
      <c r="P218" s="113" t="s">
        <v>211</v>
      </c>
      <c r="Q218" s="8" t="s">
        <v>211</v>
      </c>
      <c r="R218" s="113" t="s">
        <v>211</v>
      </c>
      <c r="S218" s="8">
        <v>1</v>
      </c>
      <c r="T218" s="8">
        <v>1</v>
      </c>
      <c r="U218" s="113"/>
      <c r="V218" s="113"/>
      <c r="W218" s="113"/>
      <c r="X218" s="8"/>
      <c r="Y218" s="113"/>
      <c r="Z218" s="113" t="s">
        <v>351</v>
      </c>
      <c r="AA218" s="70">
        <f>SUM(Z218/J218)</f>
        <v>0.66666666666666663</v>
      </c>
      <c r="AB218" s="208"/>
      <c r="AC218" s="208"/>
    </row>
    <row r="219" spans="2:29" ht="14.25" customHeight="1" outlineLevel="1" x14ac:dyDescent="0.2">
      <c r="B219" s="49"/>
      <c r="C219" s="164"/>
      <c r="D219" s="165"/>
      <c r="E219" s="166"/>
      <c r="F219" s="162"/>
      <c r="G219" s="308" t="s">
        <v>169</v>
      </c>
      <c r="H219" s="76" t="s">
        <v>25</v>
      </c>
      <c r="I219" s="8">
        <v>1</v>
      </c>
      <c r="J219" s="8">
        <v>1</v>
      </c>
      <c r="K219" s="113" t="s">
        <v>211</v>
      </c>
      <c r="L219" s="8">
        <v>1</v>
      </c>
      <c r="M219" s="113" t="s">
        <v>211</v>
      </c>
      <c r="N219" s="113" t="s">
        <v>211</v>
      </c>
      <c r="O219" s="113" t="s">
        <v>353</v>
      </c>
      <c r="P219" s="113" t="s">
        <v>211</v>
      </c>
      <c r="Q219" s="113" t="s">
        <v>211</v>
      </c>
      <c r="R219" s="113" t="s">
        <v>211</v>
      </c>
      <c r="S219" s="8">
        <v>1</v>
      </c>
      <c r="T219" s="113" t="s">
        <v>353</v>
      </c>
      <c r="U219" s="113"/>
      <c r="V219" s="113"/>
      <c r="W219" s="113"/>
      <c r="X219" s="113"/>
      <c r="Y219" s="113"/>
      <c r="Z219" s="113" t="s">
        <v>353</v>
      </c>
      <c r="AA219" s="253" t="s">
        <v>365</v>
      </c>
      <c r="AB219" s="208"/>
      <c r="AC219" s="208"/>
    </row>
    <row r="220" spans="2:29" ht="19.5" customHeight="1" outlineLevel="1" x14ac:dyDescent="0.2">
      <c r="B220" s="49"/>
      <c r="C220" s="164"/>
      <c r="D220" s="165"/>
      <c r="E220" s="166"/>
      <c r="F220" s="162"/>
      <c r="G220" s="308" t="s">
        <v>170</v>
      </c>
      <c r="H220" s="76" t="s">
        <v>25</v>
      </c>
      <c r="I220" s="8">
        <v>28</v>
      </c>
      <c r="J220" s="264">
        <v>40</v>
      </c>
      <c r="K220" s="8">
        <v>8</v>
      </c>
      <c r="L220" s="113" t="s">
        <v>211</v>
      </c>
      <c r="M220" s="113" t="s">
        <v>374</v>
      </c>
      <c r="N220" s="113" t="s">
        <v>374</v>
      </c>
      <c r="O220" s="6">
        <v>16</v>
      </c>
      <c r="P220" s="8">
        <v>6</v>
      </c>
      <c r="Q220" s="113" t="s">
        <v>360</v>
      </c>
      <c r="R220" s="8">
        <v>4</v>
      </c>
      <c r="S220" s="113" t="s">
        <v>392</v>
      </c>
      <c r="T220" s="6">
        <f t="shared" si="46"/>
        <v>23</v>
      </c>
      <c r="U220" s="8"/>
      <c r="V220" s="113"/>
      <c r="W220" s="8"/>
      <c r="X220" s="8"/>
      <c r="Y220" s="6"/>
      <c r="Z220" s="6">
        <f>SUM(O220+T220)</f>
        <v>39</v>
      </c>
      <c r="AA220" s="70">
        <f>SUM(Z220/J220)</f>
        <v>0.97499999999999998</v>
      </c>
      <c r="AB220" s="208"/>
      <c r="AC220" s="208"/>
    </row>
    <row r="221" spans="2:29" ht="25.5" customHeight="1" outlineLevel="1" x14ac:dyDescent="0.2">
      <c r="B221" s="49"/>
      <c r="C221" s="164"/>
      <c r="D221" s="165"/>
      <c r="E221" s="166"/>
      <c r="F221" s="162"/>
      <c r="G221" s="309" t="s">
        <v>361</v>
      </c>
      <c r="H221" s="76" t="s">
        <v>25</v>
      </c>
      <c r="I221" s="8">
        <v>1</v>
      </c>
      <c r="J221" s="8">
        <v>1</v>
      </c>
      <c r="K221" s="113" t="s">
        <v>211</v>
      </c>
      <c r="L221" s="113" t="s">
        <v>211</v>
      </c>
      <c r="M221" s="8">
        <v>1</v>
      </c>
      <c r="N221" s="8" t="s">
        <v>211</v>
      </c>
      <c r="O221" s="113" t="s">
        <v>353</v>
      </c>
      <c r="P221" s="113" t="s">
        <v>211</v>
      </c>
      <c r="Q221" s="113" t="s">
        <v>211</v>
      </c>
      <c r="R221" s="113" t="s">
        <v>211</v>
      </c>
      <c r="S221" s="113" t="s">
        <v>211</v>
      </c>
      <c r="T221" s="113" t="s">
        <v>353</v>
      </c>
      <c r="U221" s="113"/>
      <c r="V221" s="113"/>
      <c r="W221" s="113"/>
      <c r="X221" s="113"/>
      <c r="Y221" s="113"/>
      <c r="Z221" s="113" t="s">
        <v>353</v>
      </c>
      <c r="AA221" s="253" t="s">
        <v>365</v>
      </c>
      <c r="AB221" s="208"/>
      <c r="AC221" s="208"/>
    </row>
    <row r="222" spans="2:29" ht="26.25" customHeight="1" outlineLevel="1" x14ac:dyDescent="0.2">
      <c r="B222" s="49"/>
      <c r="C222" s="164"/>
      <c r="D222" s="165"/>
      <c r="E222" s="166"/>
      <c r="F222" s="162"/>
      <c r="G222" s="308" t="s">
        <v>349</v>
      </c>
      <c r="H222" s="76" t="s">
        <v>25</v>
      </c>
      <c r="I222" s="8">
        <v>3</v>
      </c>
      <c r="J222" s="8">
        <v>3</v>
      </c>
      <c r="K222" s="113" t="s">
        <v>211</v>
      </c>
      <c r="L222" s="113" t="s">
        <v>211</v>
      </c>
      <c r="M222" s="113" t="s">
        <v>211</v>
      </c>
      <c r="N222" s="113" t="s">
        <v>355</v>
      </c>
      <c r="O222" s="113" t="s">
        <v>355</v>
      </c>
      <c r="P222" s="113" t="s">
        <v>211</v>
      </c>
      <c r="Q222" s="113" t="s">
        <v>211</v>
      </c>
      <c r="R222" s="113" t="s">
        <v>211</v>
      </c>
      <c r="S222" s="113" t="s">
        <v>211</v>
      </c>
      <c r="T222" s="113" t="s">
        <v>355</v>
      </c>
      <c r="U222" s="113"/>
      <c r="V222" s="113"/>
      <c r="W222" s="113"/>
      <c r="X222" s="113"/>
      <c r="Y222" s="113"/>
      <c r="Z222" s="113" t="s">
        <v>355</v>
      </c>
      <c r="AA222" s="253" t="s">
        <v>365</v>
      </c>
      <c r="AB222" s="208"/>
      <c r="AC222" s="208"/>
    </row>
    <row r="223" spans="2:29" ht="36" customHeight="1" outlineLevel="1" x14ac:dyDescent="0.2">
      <c r="B223" s="49"/>
      <c r="C223" s="164"/>
      <c r="D223" s="165"/>
      <c r="E223" s="166"/>
      <c r="F223" s="162"/>
      <c r="G223" s="308" t="s">
        <v>350</v>
      </c>
      <c r="H223" s="76" t="s">
        <v>28</v>
      </c>
      <c r="I223" s="8">
        <v>3</v>
      </c>
      <c r="J223" s="264">
        <v>10</v>
      </c>
      <c r="K223" s="113" t="s">
        <v>211</v>
      </c>
      <c r="L223" s="113" t="s">
        <v>211</v>
      </c>
      <c r="M223" s="113" t="s">
        <v>211</v>
      </c>
      <c r="N223" s="8" t="s">
        <v>211</v>
      </c>
      <c r="O223" s="113" t="s">
        <v>211</v>
      </c>
      <c r="P223" s="113" t="s">
        <v>353</v>
      </c>
      <c r="Q223" s="113" t="s">
        <v>211</v>
      </c>
      <c r="R223" s="8">
        <v>1</v>
      </c>
      <c r="S223" s="113" t="s">
        <v>211</v>
      </c>
      <c r="T223" s="113">
        <f t="shared" si="46"/>
        <v>2</v>
      </c>
      <c r="U223" s="113"/>
      <c r="V223" s="113"/>
      <c r="W223" s="113"/>
      <c r="X223" s="113"/>
      <c r="Y223" s="113"/>
      <c r="Z223" s="113" t="s">
        <v>351</v>
      </c>
      <c r="AA223" s="70">
        <f>SUM(Z223/J223)</f>
        <v>0.2</v>
      </c>
      <c r="AB223" s="208"/>
      <c r="AC223" s="208"/>
    </row>
    <row r="224" spans="2:29" ht="37.5" customHeight="1" x14ac:dyDescent="0.2">
      <c r="B224" s="49"/>
      <c r="C224" s="332"/>
      <c r="D224" s="333"/>
      <c r="E224" s="334"/>
      <c r="F224" s="285"/>
      <c r="G224" s="308" t="s">
        <v>376</v>
      </c>
      <c r="H224" s="76" t="s">
        <v>25</v>
      </c>
      <c r="I224" s="113" t="s">
        <v>211</v>
      </c>
      <c r="J224" s="264">
        <v>20</v>
      </c>
      <c r="K224" s="113" t="s">
        <v>211</v>
      </c>
      <c r="L224" s="113" t="s">
        <v>211</v>
      </c>
      <c r="M224" s="8">
        <v>8</v>
      </c>
      <c r="N224" s="8">
        <v>2</v>
      </c>
      <c r="O224" s="113" t="s">
        <v>372</v>
      </c>
      <c r="P224" s="113">
        <v>3</v>
      </c>
      <c r="Q224" s="8">
        <v>1</v>
      </c>
      <c r="R224" s="113">
        <v>1</v>
      </c>
      <c r="S224" s="8">
        <v>2</v>
      </c>
      <c r="T224" s="113">
        <f t="shared" si="46"/>
        <v>7</v>
      </c>
      <c r="U224" s="113"/>
      <c r="V224" s="113"/>
      <c r="W224" s="113"/>
      <c r="X224" s="113"/>
      <c r="Y224" s="113"/>
      <c r="Z224" s="113" t="s">
        <v>387</v>
      </c>
      <c r="AA224" s="70">
        <f>SUM(Z224/J224)</f>
        <v>0.85</v>
      </c>
      <c r="AB224" s="208"/>
      <c r="AC224" s="271"/>
    </row>
    <row r="225" spans="2:30" ht="21.75" customHeight="1" x14ac:dyDescent="0.2">
      <c r="B225" s="363" t="s">
        <v>67</v>
      </c>
      <c r="C225" s="363"/>
      <c r="D225" s="363"/>
      <c r="E225" s="363"/>
      <c r="F225" s="363"/>
      <c r="G225" s="363"/>
      <c r="H225" s="363"/>
      <c r="I225" s="363"/>
      <c r="J225" s="363"/>
      <c r="K225" s="363"/>
      <c r="L225" s="363"/>
      <c r="M225" s="363"/>
      <c r="N225" s="363"/>
      <c r="O225" s="363"/>
      <c r="P225" s="363"/>
      <c r="Q225" s="363"/>
      <c r="R225" s="363"/>
      <c r="S225" s="363"/>
      <c r="T225" s="363"/>
      <c r="U225" s="363"/>
      <c r="V225" s="363"/>
      <c r="W225" s="363"/>
      <c r="X225" s="363"/>
      <c r="Y225" s="363"/>
      <c r="Z225" s="363"/>
      <c r="AA225" s="363"/>
      <c r="AB225" s="363"/>
      <c r="AC225" s="363"/>
    </row>
    <row r="226" spans="2:30" s="188" customFormat="1" ht="20.25" customHeight="1" x14ac:dyDescent="0.2">
      <c r="B226" s="373" t="s">
        <v>100</v>
      </c>
      <c r="C226" s="373"/>
      <c r="D226" s="373"/>
      <c r="E226" s="373"/>
      <c r="F226" s="408" t="s">
        <v>121</v>
      </c>
      <c r="G226" s="408"/>
      <c r="H226" s="408"/>
      <c r="I226" s="408"/>
      <c r="J226" s="408"/>
      <c r="K226" s="408"/>
      <c r="L226" s="408"/>
      <c r="M226" s="408"/>
      <c r="N226" s="408"/>
      <c r="O226" s="408"/>
      <c r="P226" s="408"/>
      <c r="Q226" s="408"/>
      <c r="R226" s="408"/>
      <c r="S226" s="408"/>
      <c r="T226" s="408"/>
      <c r="U226" s="408"/>
      <c r="V226" s="408"/>
      <c r="W226" s="408"/>
      <c r="X226" s="408"/>
      <c r="Y226" s="408"/>
      <c r="Z226" s="408"/>
      <c r="AA226" s="408"/>
      <c r="AB226" s="408"/>
      <c r="AC226" s="408"/>
    </row>
    <row r="227" spans="2:30" s="188" customFormat="1" ht="31.5" customHeight="1" x14ac:dyDescent="0.2">
      <c r="B227" s="373" t="s">
        <v>90</v>
      </c>
      <c r="C227" s="373"/>
      <c r="D227" s="373"/>
      <c r="E227" s="373"/>
      <c r="F227" s="407" t="s">
        <v>220</v>
      </c>
      <c r="G227" s="407"/>
      <c r="H227" s="407"/>
      <c r="I227" s="407"/>
      <c r="J227" s="407"/>
      <c r="K227" s="407"/>
      <c r="L227" s="407"/>
      <c r="M227" s="407"/>
      <c r="N227" s="407"/>
      <c r="O227" s="407"/>
      <c r="P227" s="407"/>
      <c r="Q227" s="407"/>
      <c r="R227" s="407"/>
      <c r="S227" s="407"/>
      <c r="T227" s="407"/>
      <c r="U227" s="407"/>
      <c r="V227" s="407"/>
      <c r="W227" s="407"/>
      <c r="X227" s="407"/>
      <c r="Y227" s="407"/>
      <c r="Z227" s="407"/>
      <c r="AA227" s="407"/>
      <c r="AB227" s="407"/>
      <c r="AC227" s="407"/>
    </row>
    <row r="228" spans="2:30" s="188" customFormat="1" ht="18" customHeight="1" x14ac:dyDescent="0.2">
      <c r="B228" s="369" t="s">
        <v>145</v>
      </c>
      <c r="C228" s="370"/>
      <c r="D228" s="370"/>
      <c r="E228" s="371"/>
      <c r="F228" s="409" t="s">
        <v>224</v>
      </c>
      <c r="G228" s="410"/>
      <c r="H228" s="410"/>
      <c r="I228" s="410"/>
      <c r="J228" s="410"/>
      <c r="K228" s="410"/>
      <c r="L228" s="410"/>
      <c r="M228" s="410"/>
      <c r="N228" s="410"/>
      <c r="O228" s="410"/>
      <c r="P228" s="410"/>
      <c r="Q228" s="410"/>
      <c r="R228" s="410"/>
      <c r="S228" s="410"/>
      <c r="T228" s="410"/>
      <c r="U228" s="410"/>
      <c r="V228" s="410"/>
      <c r="W228" s="410"/>
      <c r="X228" s="410"/>
      <c r="Y228" s="410"/>
      <c r="Z228" s="410"/>
      <c r="AA228" s="410"/>
      <c r="AB228" s="410"/>
      <c r="AC228" s="411"/>
    </row>
    <row r="229" spans="2:30" s="188" customFormat="1" ht="21" customHeight="1" x14ac:dyDescent="0.2">
      <c r="B229" s="351" t="s">
        <v>122</v>
      </c>
      <c r="C229" s="352"/>
      <c r="D229" s="352"/>
      <c r="E229" s="352"/>
      <c r="F229" s="352"/>
      <c r="G229" s="352"/>
      <c r="H229" s="352"/>
      <c r="I229" s="352"/>
      <c r="J229" s="352"/>
      <c r="K229" s="352"/>
      <c r="L229" s="352"/>
      <c r="M229" s="352"/>
      <c r="N229" s="352"/>
      <c r="O229" s="352"/>
      <c r="P229" s="352"/>
      <c r="Q229" s="352"/>
      <c r="R229" s="352"/>
      <c r="S229" s="352"/>
      <c r="T229" s="352"/>
      <c r="U229" s="352"/>
      <c r="V229" s="352"/>
      <c r="W229" s="352"/>
      <c r="X229" s="352"/>
      <c r="Y229" s="352"/>
      <c r="Z229" s="352"/>
      <c r="AA229" s="352"/>
      <c r="AB229" s="352"/>
      <c r="AC229" s="225"/>
    </row>
    <row r="230" spans="2:30" s="188" customFormat="1" ht="32.25" customHeight="1" x14ac:dyDescent="0.2">
      <c r="B230" s="349" t="s">
        <v>102</v>
      </c>
      <c r="C230" s="349"/>
      <c r="D230" s="349"/>
      <c r="E230" s="349"/>
      <c r="F230" s="401" t="s">
        <v>186</v>
      </c>
      <c r="G230" s="402"/>
      <c r="H230" s="402"/>
      <c r="I230" s="402"/>
      <c r="J230" s="402"/>
      <c r="K230" s="402"/>
      <c r="L230" s="402"/>
      <c r="M230" s="402"/>
      <c r="N230" s="402"/>
      <c r="O230" s="402"/>
      <c r="P230" s="402"/>
      <c r="Q230" s="402"/>
      <c r="R230" s="402"/>
      <c r="S230" s="402"/>
      <c r="T230" s="402"/>
      <c r="U230" s="402"/>
      <c r="V230" s="402"/>
      <c r="W230" s="402"/>
      <c r="X230" s="402"/>
      <c r="Y230" s="402"/>
      <c r="Z230" s="402"/>
      <c r="AA230" s="402"/>
      <c r="AB230" s="402"/>
      <c r="AC230" s="403"/>
    </row>
    <row r="231" spans="2:30" s="188" customFormat="1" ht="17.25" customHeight="1" x14ac:dyDescent="0.2">
      <c r="B231" s="368" t="s">
        <v>103</v>
      </c>
      <c r="C231" s="368"/>
      <c r="D231" s="368"/>
      <c r="E231" s="368"/>
      <c r="F231" s="397" t="s">
        <v>208</v>
      </c>
      <c r="G231" s="398"/>
      <c r="H231" s="398"/>
      <c r="I231" s="398"/>
      <c r="J231" s="398"/>
      <c r="K231" s="398"/>
      <c r="L231" s="398"/>
      <c r="M231" s="398"/>
      <c r="N231" s="398"/>
      <c r="O231" s="398"/>
      <c r="P231" s="398"/>
      <c r="Q231" s="398"/>
      <c r="R231" s="398"/>
      <c r="S231" s="398"/>
      <c r="T231" s="398"/>
      <c r="U231" s="398"/>
      <c r="V231" s="398"/>
      <c r="W231" s="398"/>
      <c r="X231" s="398"/>
      <c r="Y231" s="398"/>
      <c r="Z231" s="398"/>
      <c r="AA231" s="398"/>
      <c r="AB231" s="398"/>
      <c r="AC231" s="399"/>
    </row>
    <row r="232" spans="2:30" ht="21" customHeight="1" x14ac:dyDescent="0.2">
      <c r="B232" s="90"/>
      <c r="C232" s="345" t="s">
        <v>235</v>
      </c>
      <c r="D232" s="346"/>
      <c r="E232" s="346"/>
      <c r="F232" s="346"/>
      <c r="G232" s="346"/>
      <c r="H232" s="346"/>
      <c r="I232" s="346"/>
      <c r="J232" s="346"/>
      <c r="K232" s="346"/>
      <c r="L232" s="346"/>
      <c r="M232" s="346"/>
      <c r="N232" s="346"/>
      <c r="O232" s="346"/>
      <c r="P232" s="346"/>
      <c r="Q232" s="346"/>
      <c r="R232" s="346"/>
      <c r="S232" s="346"/>
      <c r="T232" s="346"/>
      <c r="U232" s="346"/>
      <c r="V232" s="346"/>
      <c r="W232" s="346"/>
      <c r="X232" s="346"/>
      <c r="Y232" s="346"/>
      <c r="Z232" s="346"/>
      <c r="AA232" s="346"/>
      <c r="AB232" s="346"/>
      <c r="AC232" s="347"/>
    </row>
    <row r="233" spans="2:30" ht="61.5" customHeight="1" x14ac:dyDescent="0.2">
      <c r="B233" s="191" t="s">
        <v>139</v>
      </c>
      <c r="C233" s="379" t="s">
        <v>94</v>
      </c>
      <c r="D233" s="380"/>
      <c r="E233" s="381"/>
      <c r="F233" s="192" t="s">
        <v>95</v>
      </c>
      <c r="G233" s="193" t="s">
        <v>4</v>
      </c>
      <c r="H233" s="194" t="s">
        <v>3</v>
      </c>
      <c r="I233" s="195" t="s">
        <v>96</v>
      </c>
      <c r="J233" s="195" t="s">
        <v>150</v>
      </c>
      <c r="K233" s="1" t="s">
        <v>5</v>
      </c>
      <c r="L233" s="1" t="s">
        <v>6</v>
      </c>
      <c r="M233" s="1" t="s">
        <v>7</v>
      </c>
      <c r="N233" s="1" t="s">
        <v>8</v>
      </c>
      <c r="O233" s="35" t="s">
        <v>157</v>
      </c>
      <c r="P233" s="2" t="s">
        <v>9</v>
      </c>
      <c r="Q233" s="2" t="s">
        <v>10</v>
      </c>
      <c r="R233" s="2" t="s">
        <v>11</v>
      </c>
      <c r="S233" s="2" t="s">
        <v>12</v>
      </c>
      <c r="T233" s="35" t="s">
        <v>158</v>
      </c>
      <c r="U233" s="2" t="s">
        <v>13</v>
      </c>
      <c r="V233" s="2" t="s">
        <v>14</v>
      </c>
      <c r="W233" s="2" t="s">
        <v>15</v>
      </c>
      <c r="X233" s="2" t="s">
        <v>16</v>
      </c>
      <c r="Y233" s="35" t="s">
        <v>159</v>
      </c>
      <c r="Z233" s="196" t="s">
        <v>97</v>
      </c>
      <c r="AA233" s="196" t="s">
        <v>98</v>
      </c>
      <c r="AB233" s="197" t="s">
        <v>256</v>
      </c>
      <c r="AC233" s="196" t="s">
        <v>99</v>
      </c>
    </row>
    <row r="234" spans="2:30" ht="29.25" customHeight="1" x14ac:dyDescent="0.2">
      <c r="B234" s="423" t="s">
        <v>17</v>
      </c>
      <c r="C234" s="424"/>
      <c r="D234" s="424"/>
      <c r="E234" s="424"/>
      <c r="F234" s="424"/>
      <c r="G234" s="424"/>
      <c r="H234" s="425"/>
      <c r="I234" s="56">
        <f>SUM(I235+I253+I262+I275)</f>
        <v>3982</v>
      </c>
      <c r="J234" s="56">
        <v>4130</v>
      </c>
      <c r="K234" s="56">
        <f>+K235+K253+K262+K275</f>
        <v>416</v>
      </c>
      <c r="L234" s="56">
        <f>+L235+L253+L262+L275</f>
        <v>475</v>
      </c>
      <c r="M234" s="56">
        <f>+M235+M253+M262+M275</f>
        <v>511</v>
      </c>
      <c r="N234" s="56">
        <f>+N235+N253+N262+N275</f>
        <v>382</v>
      </c>
      <c r="O234" s="56">
        <f t="shared" ref="O234:X234" si="47">SUM(O235+O253+O262+O275)</f>
        <v>1784</v>
      </c>
      <c r="P234" s="56">
        <f t="shared" si="47"/>
        <v>350</v>
      </c>
      <c r="Q234" s="56">
        <f t="shared" si="47"/>
        <v>325</v>
      </c>
      <c r="R234" s="56">
        <f t="shared" si="47"/>
        <v>295</v>
      </c>
      <c r="S234" s="56">
        <f t="shared" si="47"/>
        <v>282</v>
      </c>
      <c r="T234" s="56">
        <f t="shared" si="47"/>
        <v>1252</v>
      </c>
      <c r="U234" s="56">
        <f t="shared" si="47"/>
        <v>0</v>
      </c>
      <c r="V234" s="56">
        <f t="shared" si="47"/>
        <v>0</v>
      </c>
      <c r="W234" s="56">
        <f t="shared" si="47"/>
        <v>0</v>
      </c>
      <c r="X234" s="56">
        <f t="shared" si="47"/>
        <v>0</v>
      </c>
      <c r="Y234" s="56">
        <f>+Y235+Y262+Y275</f>
        <v>0</v>
      </c>
      <c r="Z234" s="56">
        <f>SUM(Z235+Z253+Z262+Z275)</f>
        <v>3036</v>
      </c>
      <c r="AA234" s="106">
        <f>SUM(Z234/J234)</f>
        <v>0.73510895883777239</v>
      </c>
      <c r="AB234" s="105">
        <f>+AB235+AB262+AB275</f>
        <v>64512779</v>
      </c>
      <c r="AC234" s="290" t="s">
        <v>450</v>
      </c>
    </row>
    <row r="235" spans="2:30" ht="83.25" customHeight="1" x14ac:dyDescent="0.2">
      <c r="B235" s="31">
        <v>1</v>
      </c>
      <c r="C235" s="348" t="s">
        <v>291</v>
      </c>
      <c r="D235" s="348"/>
      <c r="E235" s="348"/>
      <c r="F235" s="162"/>
      <c r="G235" s="162"/>
      <c r="H235" s="162" t="s">
        <v>25</v>
      </c>
      <c r="I235" s="162">
        <v>295</v>
      </c>
      <c r="J235" s="274">
        <v>316</v>
      </c>
      <c r="K235" s="161">
        <f>+K236+K245+K256</f>
        <v>13</v>
      </c>
      <c r="L235" s="186">
        <f>+L236+L245+L256</f>
        <v>26</v>
      </c>
      <c r="M235" s="260">
        <f>+M236+M245+M256</f>
        <v>30</v>
      </c>
      <c r="N235" s="161">
        <f>+N236+N245+N256</f>
        <v>31</v>
      </c>
      <c r="O235" s="10">
        <f>+K235+L235+M235+N235</f>
        <v>100</v>
      </c>
      <c r="P235" s="161">
        <v>36</v>
      </c>
      <c r="Q235" s="7">
        <f>SUM(Q236+Q245+Q256)</f>
        <v>40</v>
      </c>
      <c r="R235" s="7">
        <f>SUM(R236+R245+R256)</f>
        <v>23</v>
      </c>
      <c r="S235" s="161">
        <f>SUM(S236+S245+S256)</f>
        <v>16</v>
      </c>
      <c r="T235" s="7">
        <f>SUM(P235:S235)</f>
        <v>115</v>
      </c>
      <c r="U235" s="7"/>
      <c r="V235" s="110"/>
      <c r="W235" s="162"/>
      <c r="X235" s="162"/>
      <c r="Y235" s="7">
        <f>SUM(U235:X235)</f>
        <v>0</v>
      </c>
      <c r="Z235" s="10">
        <f>SUM(O235+T235)</f>
        <v>215</v>
      </c>
      <c r="AA235" s="42">
        <f>SUM(Z235/J235)</f>
        <v>0.680379746835443</v>
      </c>
      <c r="AB235" s="3">
        <v>26400538</v>
      </c>
      <c r="AC235" s="290" t="s">
        <v>427</v>
      </c>
      <c r="AD235" s="63">
        <f>SUM(AD236+AD245+AD256)</f>
        <v>57</v>
      </c>
    </row>
    <row r="236" spans="2:30" ht="75" customHeight="1" x14ac:dyDescent="0.2">
      <c r="B236" s="38"/>
      <c r="C236" s="170"/>
      <c r="D236" s="171"/>
      <c r="E236" s="172"/>
      <c r="F236" s="66" t="s">
        <v>292</v>
      </c>
      <c r="G236" s="19"/>
      <c r="H236" s="19" t="s">
        <v>25</v>
      </c>
      <c r="I236" s="88">
        <v>70</v>
      </c>
      <c r="J236" s="278">
        <v>79</v>
      </c>
      <c r="K236" s="13">
        <v>5</v>
      </c>
      <c r="L236" s="13">
        <v>6</v>
      </c>
      <c r="M236" s="13">
        <v>6</v>
      </c>
      <c r="N236" s="13">
        <v>9</v>
      </c>
      <c r="O236" s="7">
        <f>SUM(K236:N236)</f>
        <v>26</v>
      </c>
      <c r="P236" s="7">
        <v>6</v>
      </c>
      <c r="Q236" s="7">
        <v>7</v>
      </c>
      <c r="R236" s="5">
        <f>+R237+R240</f>
        <v>8</v>
      </c>
      <c r="S236" s="5">
        <v>6</v>
      </c>
      <c r="T236" s="7">
        <f t="shared" ref="T236:T238" si="48">SUM(P236+Q236+R236+S236)</f>
        <v>27</v>
      </c>
      <c r="U236" s="7"/>
      <c r="V236" s="7"/>
      <c r="W236" s="7"/>
      <c r="X236" s="138"/>
      <c r="Y236" s="7">
        <f>SUM(U236:X236)</f>
        <v>0</v>
      </c>
      <c r="Z236" s="7">
        <f>SUM(O236+T236+Y236)</f>
        <v>53</v>
      </c>
      <c r="AA236" s="42">
        <f>SUM(Z236/J236)</f>
        <v>0.67088607594936711</v>
      </c>
      <c r="AB236" s="27"/>
      <c r="AC236" s="12"/>
      <c r="AD236" s="63">
        <f>8+7+6+3</f>
        <v>24</v>
      </c>
    </row>
    <row r="237" spans="2:30" ht="15.75" customHeight="1" x14ac:dyDescent="0.2">
      <c r="B237" s="40"/>
      <c r="C237" s="344"/>
      <c r="D237" s="344"/>
      <c r="E237" s="344"/>
      <c r="F237" s="49"/>
      <c r="G237" s="25" t="s">
        <v>171</v>
      </c>
      <c r="H237" s="20"/>
      <c r="I237" s="162">
        <v>15</v>
      </c>
      <c r="J237" s="294">
        <v>19</v>
      </c>
      <c r="K237" s="5">
        <v>1</v>
      </c>
      <c r="L237" s="5">
        <v>1</v>
      </c>
      <c r="M237" s="5">
        <v>2</v>
      </c>
      <c r="N237" s="5">
        <v>4</v>
      </c>
      <c r="O237" s="7">
        <f>SUM(K237:N237)</f>
        <v>8</v>
      </c>
      <c r="P237" s="5">
        <v>1</v>
      </c>
      <c r="Q237" s="5">
        <v>2</v>
      </c>
      <c r="R237" s="5">
        <v>2</v>
      </c>
      <c r="S237" s="5">
        <v>1</v>
      </c>
      <c r="T237" s="7">
        <f t="shared" si="48"/>
        <v>6</v>
      </c>
      <c r="U237" s="5"/>
      <c r="V237" s="136"/>
      <c r="W237" s="7"/>
      <c r="X237" s="136"/>
      <c r="Y237" s="7">
        <f>SUM(U237:X237)</f>
        <v>0</v>
      </c>
      <c r="Z237" s="7">
        <f>SUM(O237+T237+Y237)</f>
        <v>14</v>
      </c>
      <c r="AA237" s="42">
        <f>SUM(Z237/J237)</f>
        <v>0.73684210526315785</v>
      </c>
      <c r="AB237" s="55"/>
      <c r="AC237" s="12"/>
    </row>
    <row r="238" spans="2:30" ht="135.75" customHeight="1" x14ac:dyDescent="0.2">
      <c r="B238" s="49"/>
      <c r="C238" s="344"/>
      <c r="D238" s="344"/>
      <c r="E238" s="344"/>
      <c r="F238" s="26"/>
      <c r="G238" s="66" t="s">
        <v>293</v>
      </c>
      <c r="H238" s="19" t="s">
        <v>25</v>
      </c>
      <c r="I238" s="67">
        <v>15</v>
      </c>
      <c r="J238" s="279">
        <v>19</v>
      </c>
      <c r="K238" s="8">
        <v>1</v>
      </c>
      <c r="L238" s="8">
        <v>1</v>
      </c>
      <c r="M238" s="24">
        <v>2</v>
      </c>
      <c r="N238" s="8">
        <v>4</v>
      </c>
      <c r="O238" s="6">
        <f>SUM(K238:N238)</f>
        <v>8</v>
      </c>
      <c r="P238" s="8">
        <v>1</v>
      </c>
      <c r="Q238" s="24">
        <v>2</v>
      </c>
      <c r="R238" s="24">
        <v>2</v>
      </c>
      <c r="S238" s="24">
        <v>1</v>
      </c>
      <c r="T238" s="6">
        <f t="shared" si="48"/>
        <v>6</v>
      </c>
      <c r="U238" s="8"/>
      <c r="V238" s="136"/>
      <c r="W238" s="6"/>
      <c r="X238" s="136"/>
      <c r="Y238" s="6">
        <f>SUM(U238:X238)</f>
        <v>0</v>
      </c>
      <c r="Z238" s="6">
        <f>SUM(O238+T238+Y238)</f>
        <v>14</v>
      </c>
      <c r="AA238" s="70">
        <f>SUM(Z238/J238)</f>
        <v>0.73684210526315785</v>
      </c>
      <c r="AB238" s="486" t="s">
        <v>451</v>
      </c>
      <c r="AC238" s="445"/>
    </row>
    <row r="239" spans="2:30" ht="11.25" customHeight="1" x14ac:dyDescent="0.2">
      <c r="B239" s="442"/>
      <c r="C239" s="443"/>
      <c r="D239" s="443"/>
      <c r="E239" s="443"/>
      <c r="F239" s="443"/>
      <c r="G239" s="443"/>
      <c r="H239" s="443"/>
      <c r="I239" s="443"/>
      <c r="J239" s="443"/>
      <c r="K239" s="443"/>
      <c r="L239" s="443"/>
      <c r="M239" s="443"/>
      <c r="N239" s="443"/>
      <c r="O239" s="443"/>
      <c r="P239" s="443"/>
      <c r="Q239" s="443"/>
      <c r="R239" s="443"/>
      <c r="S239" s="443"/>
      <c r="T239" s="443"/>
      <c r="U239" s="443"/>
      <c r="V239" s="443"/>
      <c r="W239" s="443"/>
      <c r="X239" s="443"/>
      <c r="Y239" s="443"/>
      <c r="Z239" s="443"/>
      <c r="AA239" s="443"/>
      <c r="AB239" s="443"/>
      <c r="AC239" s="227"/>
    </row>
    <row r="240" spans="2:30" ht="32.25" customHeight="1" x14ac:dyDescent="0.2">
      <c r="B240" s="49"/>
      <c r="C240" s="344"/>
      <c r="D240" s="344"/>
      <c r="E240" s="344"/>
      <c r="F240" s="34"/>
      <c r="G240" s="25" t="s">
        <v>68</v>
      </c>
      <c r="H240" s="25"/>
      <c r="I240" s="161">
        <v>55</v>
      </c>
      <c r="J240" s="274">
        <v>60</v>
      </c>
      <c r="K240" s="5">
        <v>4</v>
      </c>
      <c r="L240" s="23">
        <v>5</v>
      </c>
      <c r="M240" s="23">
        <v>4</v>
      </c>
      <c r="N240" s="23">
        <v>5</v>
      </c>
      <c r="O240" s="7">
        <f>SUM(K240:N240)</f>
        <v>18</v>
      </c>
      <c r="P240" s="23">
        <v>5</v>
      </c>
      <c r="Q240" s="23">
        <v>5</v>
      </c>
      <c r="R240" s="23">
        <f>+R241+R242</f>
        <v>6</v>
      </c>
      <c r="S240" s="23">
        <v>5</v>
      </c>
      <c r="T240" s="7">
        <f t="shared" ref="T240:T242" si="49">SUM(P240+Q240+R240+S240)</f>
        <v>21</v>
      </c>
      <c r="U240" s="5"/>
      <c r="V240" s="5"/>
      <c r="W240" s="5"/>
      <c r="X240" s="138"/>
      <c r="Y240" s="7"/>
      <c r="Z240" s="7">
        <f>SUM(O240+T240)</f>
        <v>39</v>
      </c>
      <c r="AA240" s="42">
        <f>SUM(Z240/J240)</f>
        <v>0.65</v>
      </c>
      <c r="AB240" s="12"/>
      <c r="AC240" s="12"/>
    </row>
    <row r="241" spans="2:30" ht="191.25" customHeight="1" outlineLevel="1" x14ac:dyDescent="0.2">
      <c r="B241" s="49"/>
      <c r="C241" s="344"/>
      <c r="D241" s="344"/>
      <c r="E241" s="344"/>
      <c r="F241" s="34"/>
      <c r="G241" s="66" t="s">
        <v>294</v>
      </c>
      <c r="H241" s="8" t="s">
        <v>19</v>
      </c>
      <c r="I241" s="67">
        <v>38</v>
      </c>
      <c r="J241" s="265">
        <v>38</v>
      </c>
      <c r="K241" s="8">
        <v>3</v>
      </c>
      <c r="L241" s="8">
        <v>3</v>
      </c>
      <c r="M241" s="8">
        <v>3</v>
      </c>
      <c r="N241" s="8">
        <v>3</v>
      </c>
      <c r="O241" s="6">
        <f>SUM(K241:N241)</f>
        <v>12</v>
      </c>
      <c r="P241" s="8">
        <v>3</v>
      </c>
      <c r="Q241" s="8">
        <v>3</v>
      </c>
      <c r="R241" s="8">
        <v>4</v>
      </c>
      <c r="S241" s="8">
        <v>3</v>
      </c>
      <c r="T241" s="6">
        <f t="shared" si="49"/>
        <v>13</v>
      </c>
      <c r="U241" s="8"/>
      <c r="V241" s="8"/>
      <c r="W241" s="8"/>
      <c r="X241" s="139"/>
      <c r="Y241" s="6"/>
      <c r="Z241" s="6">
        <f>SUM(O241+T241)</f>
        <v>25</v>
      </c>
      <c r="AA241" s="70">
        <f>SUM(Z241/J241)</f>
        <v>0.65789473684210531</v>
      </c>
      <c r="AB241" s="444" t="s">
        <v>452</v>
      </c>
      <c r="AC241" s="445"/>
    </row>
    <row r="242" spans="2:30" ht="90" customHeight="1" outlineLevel="1" x14ac:dyDescent="0.2">
      <c r="B242" s="49"/>
      <c r="C242" s="344"/>
      <c r="D242" s="344"/>
      <c r="E242" s="344"/>
      <c r="F242" s="34"/>
      <c r="G242" s="66" t="s">
        <v>295</v>
      </c>
      <c r="H242" s="8" t="s">
        <v>19</v>
      </c>
      <c r="I242" s="67">
        <v>17</v>
      </c>
      <c r="J242" s="265">
        <v>22</v>
      </c>
      <c r="K242" s="139" t="s">
        <v>353</v>
      </c>
      <c r="L242" s="8">
        <v>2</v>
      </c>
      <c r="M242" s="8">
        <v>1</v>
      </c>
      <c r="N242" s="8">
        <v>2</v>
      </c>
      <c r="O242" s="109" t="s">
        <v>370</v>
      </c>
      <c r="P242" s="8">
        <v>2</v>
      </c>
      <c r="Q242" s="8">
        <v>2</v>
      </c>
      <c r="R242" s="8">
        <v>2</v>
      </c>
      <c r="S242" s="8">
        <v>2</v>
      </c>
      <c r="T242" s="6">
        <f t="shared" si="49"/>
        <v>8</v>
      </c>
      <c r="U242" s="8"/>
      <c r="V242" s="8"/>
      <c r="W242" s="139"/>
      <c r="X242" s="139"/>
      <c r="Y242" s="6"/>
      <c r="Z242" s="6">
        <f>SUM(O242+T242)</f>
        <v>14</v>
      </c>
      <c r="AA242" s="70">
        <f>SUM(Z242/J242)</f>
        <v>0.63636363636363635</v>
      </c>
      <c r="AB242" s="444" t="s">
        <v>453</v>
      </c>
      <c r="AC242" s="445"/>
    </row>
    <row r="243" spans="2:30" ht="18" customHeight="1" x14ac:dyDescent="0.2">
      <c r="B243" s="351" t="s">
        <v>126</v>
      </c>
      <c r="C243" s="352"/>
      <c r="D243" s="352"/>
      <c r="E243" s="352"/>
      <c r="F243" s="352"/>
      <c r="G243" s="352"/>
      <c r="H243" s="352"/>
      <c r="I243" s="352"/>
      <c r="J243" s="352"/>
      <c r="K243" s="352"/>
      <c r="L243" s="352"/>
      <c r="M243" s="352"/>
      <c r="N243" s="352"/>
      <c r="O243" s="352"/>
      <c r="P243" s="352"/>
      <c r="Q243" s="352"/>
      <c r="R243" s="352"/>
      <c r="S243" s="352"/>
      <c r="T243" s="352"/>
      <c r="U243" s="352"/>
      <c r="V243" s="352"/>
      <c r="W243" s="352"/>
      <c r="X243" s="352"/>
      <c r="Y243" s="352"/>
      <c r="Z243" s="352"/>
      <c r="AA243" s="352"/>
      <c r="AB243" s="352"/>
      <c r="AC243" s="225"/>
    </row>
    <row r="244" spans="2:30" ht="31.5" customHeight="1" x14ac:dyDescent="0.2">
      <c r="B244" s="353" t="s">
        <v>102</v>
      </c>
      <c r="C244" s="355"/>
      <c r="D244" s="439" t="s">
        <v>127</v>
      </c>
      <c r="E244" s="440"/>
      <c r="F244" s="440"/>
      <c r="G244" s="440"/>
      <c r="H244" s="440"/>
      <c r="I244" s="440"/>
      <c r="J244" s="440"/>
      <c r="K244" s="440"/>
      <c r="L244" s="440"/>
      <c r="M244" s="440"/>
      <c r="N244" s="440"/>
      <c r="O244" s="440"/>
      <c r="P244" s="440"/>
      <c r="Q244" s="440"/>
      <c r="R244" s="440"/>
      <c r="S244" s="440"/>
      <c r="T244" s="440"/>
      <c r="U244" s="440"/>
      <c r="V244" s="440"/>
      <c r="W244" s="440"/>
      <c r="X244" s="440"/>
      <c r="Y244" s="440"/>
      <c r="Z244" s="440"/>
      <c r="AA244" s="440"/>
      <c r="AB244" s="440"/>
      <c r="AC244" s="441"/>
    </row>
    <row r="245" spans="2:30" ht="99.75" customHeight="1" x14ac:dyDescent="0.2">
      <c r="B245" s="49"/>
      <c r="C245" s="344"/>
      <c r="D245" s="344"/>
      <c r="E245" s="344"/>
      <c r="F245" s="66" t="s">
        <v>296</v>
      </c>
      <c r="G245" s="51"/>
      <c r="H245" s="8" t="s">
        <v>25</v>
      </c>
      <c r="I245" s="10">
        <v>216</v>
      </c>
      <c r="J245" s="274">
        <v>233</v>
      </c>
      <c r="K245" s="13">
        <v>7</v>
      </c>
      <c r="L245" s="13">
        <v>20</v>
      </c>
      <c r="M245" s="259">
        <v>24</v>
      </c>
      <c r="N245" s="162">
        <v>21</v>
      </c>
      <c r="O245" s="7">
        <f>SUM(K245:N245)</f>
        <v>72</v>
      </c>
      <c r="P245" s="7">
        <v>30</v>
      </c>
      <c r="Q245" s="7">
        <v>32</v>
      </c>
      <c r="R245" s="114">
        <f>+R246+R247+R248+R249+R250+R251</f>
        <v>15</v>
      </c>
      <c r="S245" s="23">
        <v>10</v>
      </c>
      <c r="T245" s="7">
        <f t="shared" ref="T245:T251" si="50">SUM(P245+Q245+R245+S245)</f>
        <v>87</v>
      </c>
      <c r="U245" s="5"/>
      <c r="V245" s="5"/>
      <c r="W245" s="5"/>
      <c r="X245" s="5"/>
      <c r="Y245" s="7">
        <f t="shared" ref="Y245:Y251" si="51">SUM(U245:X245)</f>
        <v>0</v>
      </c>
      <c r="Z245" s="7">
        <f t="shared" ref="Z245:Z251" si="52">SUM(O245+T245+Y245)</f>
        <v>159</v>
      </c>
      <c r="AA245" s="42">
        <f t="shared" ref="AA245:AA251" si="53">SUM(Z245/J245)</f>
        <v>0.68240343347639487</v>
      </c>
      <c r="AB245" s="3"/>
      <c r="AC245" s="3"/>
      <c r="AD245" s="63">
        <f>9+8+9+7</f>
        <v>33</v>
      </c>
    </row>
    <row r="246" spans="2:30" ht="47.25" customHeight="1" outlineLevel="1" x14ac:dyDescent="0.2">
      <c r="B246" s="49"/>
      <c r="C246" s="344"/>
      <c r="D246" s="344"/>
      <c r="E246" s="344"/>
      <c r="F246" s="157"/>
      <c r="G246" s="66" t="s">
        <v>69</v>
      </c>
      <c r="H246" s="8" t="s">
        <v>25</v>
      </c>
      <c r="I246" s="67">
        <v>24</v>
      </c>
      <c r="J246" s="265">
        <v>28</v>
      </c>
      <c r="K246" s="154">
        <v>2</v>
      </c>
      <c r="L246" s="154">
        <v>2</v>
      </c>
      <c r="M246" s="8">
        <v>2</v>
      </c>
      <c r="N246" s="8">
        <v>2</v>
      </c>
      <c r="O246" s="6">
        <f>SUM(K246:N246)</f>
        <v>8</v>
      </c>
      <c r="P246" s="6">
        <v>3</v>
      </c>
      <c r="Q246" s="6">
        <v>4</v>
      </c>
      <c r="R246" s="8">
        <v>5</v>
      </c>
      <c r="S246" s="116" t="s">
        <v>211</v>
      </c>
      <c r="T246" s="6">
        <f t="shared" si="50"/>
        <v>12</v>
      </c>
      <c r="U246" s="8"/>
      <c r="V246" s="8"/>
      <c r="W246" s="8"/>
      <c r="X246" s="8"/>
      <c r="Y246" s="6">
        <f t="shared" si="51"/>
        <v>0</v>
      </c>
      <c r="Z246" s="6">
        <f t="shared" si="52"/>
        <v>20</v>
      </c>
      <c r="AA246" s="70">
        <f t="shared" si="53"/>
        <v>0.7142857142857143</v>
      </c>
      <c r="AB246" s="12"/>
      <c r="AC246" s="12"/>
    </row>
    <row r="247" spans="2:30" ht="60.75" customHeight="1" outlineLevel="1" x14ac:dyDescent="0.2">
      <c r="B247" s="49"/>
      <c r="C247" s="344"/>
      <c r="D247" s="344"/>
      <c r="E247" s="344"/>
      <c r="F247" s="157"/>
      <c r="G247" s="66" t="s">
        <v>70</v>
      </c>
      <c r="H247" s="8" t="s">
        <v>25</v>
      </c>
      <c r="I247" s="67">
        <v>3</v>
      </c>
      <c r="J247" s="67">
        <v>3</v>
      </c>
      <c r="K247" s="139" t="s">
        <v>211</v>
      </c>
      <c r="L247" s="8" t="s">
        <v>211</v>
      </c>
      <c r="M247" s="8">
        <v>1</v>
      </c>
      <c r="N247" s="136" t="s">
        <v>211</v>
      </c>
      <c r="O247" s="139" t="s">
        <v>353</v>
      </c>
      <c r="P247" s="116" t="s">
        <v>211</v>
      </c>
      <c r="Q247" s="6">
        <v>1</v>
      </c>
      <c r="R247" s="116" t="s">
        <v>211</v>
      </c>
      <c r="S247" s="116" t="s">
        <v>211</v>
      </c>
      <c r="T247" s="6">
        <f t="shared" si="50"/>
        <v>1</v>
      </c>
      <c r="U247" s="8"/>
      <c r="V247" s="8"/>
      <c r="W247" s="8"/>
      <c r="X247" s="8"/>
      <c r="Y247" s="6">
        <f t="shared" si="51"/>
        <v>0</v>
      </c>
      <c r="Z247" s="6">
        <f t="shared" si="52"/>
        <v>2</v>
      </c>
      <c r="AA247" s="70">
        <f t="shared" si="53"/>
        <v>0.66666666666666663</v>
      </c>
      <c r="AB247" s="12"/>
      <c r="AC247" s="12"/>
    </row>
    <row r="248" spans="2:30" ht="62.25" customHeight="1" outlineLevel="1" x14ac:dyDescent="0.2">
      <c r="B248" s="49"/>
      <c r="C248" s="344"/>
      <c r="D248" s="344"/>
      <c r="E248" s="344"/>
      <c r="F248" s="157"/>
      <c r="G248" s="66" t="s">
        <v>71</v>
      </c>
      <c r="H248" s="8" t="s">
        <v>25</v>
      </c>
      <c r="I248" s="67">
        <v>150</v>
      </c>
      <c r="J248" s="265">
        <v>159</v>
      </c>
      <c r="K248" s="154">
        <v>5</v>
      </c>
      <c r="L248" s="8">
        <v>15</v>
      </c>
      <c r="M248" s="8">
        <v>15</v>
      </c>
      <c r="N248" s="8">
        <v>15</v>
      </c>
      <c r="O248" s="6">
        <f>SUM(K248:N248)</f>
        <v>50</v>
      </c>
      <c r="P248" s="76">
        <v>23</v>
      </c>
      <c r="Q248" s="76">
        <v>24</v>
      </c>
      <c r="R248" s="76">
        <v>6</v>
      </c>
      <c r="S248" s="76">
        <v>6</v>
      </c>
      <c r="T248" s="6">
        <f t="shared" si="50"/>
        <v>59</v>
      </c>
      <c r="U248" s="8"/>
      <c r="V248" s="8"/>
      <c r="W248" s="8"/>
      <c r="X248" s="8"/>
      <c r="Y248" s="6">
        <f t="shared" si="51"/>
        <v>0</v>
      </c>
      <c r="Z248" s="6">
        <f t="shared" si="52"/>
        <v>109</v>
      </c>
      <c r="AA248" s="70">
        <f t="shared" si="53"/>
        <v>0.68553459119496851</v>
      </c>
      <c r="AB248" s="12"/>
      <c r="AC248" s="12"/>
    </row>
    <row r="249" spans="2:30" ht="63.75" outlineLevel="1" x14ac:dyDescent="0.2">
      <c r="B249" s="49"/>
      <c r="C249" s="344"/>
      <c r="D249" s="344"/>
      <c r="E249" s="344"/>
      <c r="F249" s="157"/>
      <c r="G249" s="66" t="s">
        <v>72</v>
      </c>
      <c r="H249" s="8" t="s">
        <v>25</v>
      </c>
      <c r="I249" s="67">
        <v>15</v>
      </c>
      <c r="J249" s="265">
        <v>16</v>
      </c>
      <c r="K249" s="136" t="s">
        <v>211</v>
      </c>
      <c r="L249" s="154">
        <v>1</v>
      </c>
      <c r="M249" s="8">
        <v>2</v>
      </c>
      <c r="N249" s="8">
        <v>2</v>
      </c>
      <c r="O249" s="136" t="s">
        <v>360</v>
      </c>
      <c r="P249" s="76">
        <v>1</v>
      </c>
      <c r="Q249" s="76">
        <v>1</v>
      </c>
      <c r="R249" s="76">
        <v>2</v>
      </c>
      <c r="S249" s="76">
        <v>2</v>
      </c>
      <c r="T249" s="136">
        <f t="shared" si="50"/>
        <v>6</v>
      </c>
      <c r="U249" s="136"/>
      <c r="V249" s="136"/>
      <c r="W249" s="136"/>
      <c r="X249" s="136"/>
      <c r="Y249" s="136">
        <f t="shared" si="51"/>
        <v>0</v>
      </c>
      <c r="Z249" s="136">
        <f t="shared" si="52"/>
        <v>11</v>
      </c>
      <c r="AA249" s="242">
        <f t="shared" si="53"/>
        <v>0.6875</v>
      </c>
      <c r="AB249" s="12"/>
      <c r="AC249" s="47"/>
    </row>
    <row r="250" spans="2:30" ht="38.25" outlineLevel="1" x14ac:dyDescent="0.2">
      <c r="B250" s="49"/>
      <c r="C250" s="344"/>
      <c r="D250" s="344"/>
      <c r="E250" s="344"/>
      <c r="F250" s="157"/>
      <c r="G250" s="66" t="s">
        <v>73</v>
      </c>
      <c r="H250" s="8" t="s">
        <v>25</v>
      </c>
      <c r="I250" s="67">
        <v>9</v>
      </c>
      <c r="J250" s="265">
        <v>10</v>
      </c>
      <c r="K250" s="136" t="s">
        <v>211</v>
      </c>
      <c r="L250" s="154">
        <v>1</v>
      </c>
      <c r="M250" s="8">
        <v>1</v>
      </c>
      <c r="N250" s="8">
        <v>1</v>
      </c>
      <c r="O250" s="136" t="s">
        <v>355</v>
      </c>
      <c r="P250" s="76">
        <v>1</v>
      </c>
      <c r="Q250" s="76">
        <v>1</v>
      </c>
      <c r="R250" s="76">
        <v>1</v>
      </c>
      <c r="S250" s="76">
        <v>1</v>
      </c>
      <c r="T250" s="136">
        <f t="shared" si="50"/>
        <v>4</v>
      </c>
      <c r="U250" s="136"/>
      <c r="V250" s="136"/>
      <c r="W250" s="136"/>
      <c r="X250" s="136"/>
      <c r="Y250" s="136">
        <f t="shared" si="51"/>
        <v>0</v>
      </c>
      <c r="Z250" s="136">
        <f t="shared" si="52"/>
        <v>7</v>
      </c>
      <c r="AA250" s="242">
        <f t="shared" si="53"/>
        <v>0.7</v>
      </c>
      <c r="AB250" s="12"/>
      <c r="AC250" s="96"/>
    </row>
    <row r="251" spans="2:30" ht="38.25" outlineLevel="1" x14ac:dyDescent="0.2">
      <c r="B251" s="49"/>
      <c r="C251" s="344"/>
      <c r="D251" s="344"/>
      <c r="E251" s="344"/>
      <c r="F251" s="157"/>
      <c r="G251" s="66" t="s">
        <v>172</v>
      </c>
      <c r="H251" s="8" t="s">
        <v>25</v>
      </c>
      <c r="I251" s="67">
        <v>15</v>
      </c>
      <c r="J251" s="265">
        <v>17</v>
      </c>
      <c r="K251" s="136" t="s">
        <v>211</v>
      </c>
      <c r="L251" s="154">
        <v>1</v>
      </c>
      <c r="M251" s="8">
        <v>3</v>
      </c>
      <c r="N251" s="8">
        <v>1</v>
      </c>
      <c r="O251" s="136" t="s">
        <v>360</v>
      </c>
      <c r="P251" s="76">
        <v>2</v>
      </c>
      <c r="Q251" s="76">
        <v>1</v>
      </c>
      <c r="R251" s="76">
        <v>1</v>
      </c>
      <c r="S251" s="76">
        <v>1</v>
      </c>
      <c r="T251" s="136">
        <f t="shared" si="50"/>
        <v>5</v>
      </c>
      <c r="U251" s="136"/>
      <c r="V251" s="136"/>
      <c r="W251" s="136"/>
      <c r="X251" s="136"/>
      <c r="Y251" s="136">
        <f t="shared" si="51"/>
        <v>0</v>
      </c>
      <c r="Z251" s="136">
        <f t="shared" si="52"/>
        <v>10</v>
      </c>
      <c r="AA251" s="242">
        <f t="shared" si="53"/>
        <v>0.58823529411764708</v>
      </c>
      <c r="AB251" s="12"/>
      <c r="AC251" s="57"/>
    </row>
    <row r="252" spans="2:30" ht="20.25" customHeight="1" x14ac:dyDescent="0.2">
      <c r="B252" s="351" t="s">
        <v>229</v>
      </c>
      <c r="C252" s="352"/>
      <c r="D252" s="352"/>
      <c r="E252" s="352"/>
      <c r="F252" s="352"/>
      <c r="G252" s="352"/>
      <c r="H252" s="352"/>
      <c r="I252" s="352"/>
      <c r="J252" s="352"/>
      <c r="K252" s="352"/>
      <c r="L252" s="352"/>
      <c r="M252" s="352"/>
      <c r="N252" s="352"/>
      <c r="O252" s="352"/>
      <c r="P252" s="352"/>
      <c r="Q252" s="352"/>
      <c r="R252" s="352"/>
      <c r="S252" s="352"/>
      <c r="T252" s="352"/>
      <c r="U252" s="352"/>
      <c r="V252" s="352"/>
      <c r="W252" s="352"/>
      <c r="X252" s="352"/>
      <c r="Y252" s="352"/>
      <c r="Z252" s="352"/>
      <c r="AA252" s="352"/>
      <c r="AB252" s="352"/>
      <c r="AC252" s="225"/>
    </row>
    <row r="253" spans="2:30" ht="72.75" customHeight="1" x14ac:dyDescent="0.2">
      <c r="B253" s="49"/>
      <c r="C253" s="239"/>
      <c r="D253" s="239"/>
      <c r="E253" s="239"/>
      <c r="F253" s="66" t="s">
        <v>297</v>
      </c>
      <c r="G253" s="148"/>
      <c r="H253" s="19" t="s">
        <v>28</v>
      </c>
      <c r="I253" s="161">
        <v>22</v>
      </c>
      <c r="J253" s="274">
        <v>33</v>
      </c>
      <c r="K253" s="138" t="s">
        <v>211</v>
      </c>
      <c r="L253" s="13">
        <v>1</v>
      </c>
      <c r="M253" s="259">
        <v>2</v>
      </c>
      <c r="N253" s="138" t="s">
        <v>211</v>
      </c>
      <c r="O253" s="7">
        <f>SUM(K253:N253)</f>
        <v>3</v>
      </c>
      <c r="P253" s="7">
        <v>3</v>
      </c>
      <c r="Q253" s="7">
        <f>+Q254+Q255</f>
        <v>2</v>
      </c>
      <c r="R253" s="5">
        <f>+R254+R255</f>
        <v>10</v>
      </c>
      <c r="S253" s="5">
        <f>+S254+S255</f>
        <v>5</v>
      </c>
      <c r="T253" s="7">
        <f t="shared" ref="T253:T256" si="54">SUM(P253+Q253+R253+S253)</f>
        <v>20</v>
      </c>
      <c r="U253" s="7"/>
      <c r="V253" s="7"/>
      <c r="W253" s="7"/>
      <c r="X253" s="138"/>
      <c r="Y253" s="7">
        <f>SUM(U253:X253)</f>
        <v>0</v>
      </c>
      <c r="Z253" s="7">
        <f>SUM(O253+T253+Y253)</f>
        <v>23</v>
      </c>
      <c r="AA253" s="42">
        <f>SUM(Z253/J253)</f>
        <v>0.69696969696969702</v>
      </c>
      <c r="AB253" s="3"/>
      <c r="AC253" s="57"/>
      <c r="AD253" s="63">
        <f>0+0+2+0</f>
        <v>2</v>
      </c>
    </row>
    <row r="254" spans="2:30" ht="26.25" customHeight="1" outlineLevel="1" x14ac:dyDescent="0.2">
      <c r="B254" s="49"/>
      <c r="C254" s="344"/>
      <c r="D254" s="344"/>
      <c r="E254" s="344"/>
      <c r="F254" s="66"/>
      <c r="G254" s="66" t="s">
        <v>74</v>
      </c>
      <c r="H254" s="19" t="s">
        <v>28</v>
      </c>
      <c r="I254" s="67">
        <v>14</v>
      </c>
      <c r="J254" s="265">
        <v>15</v>
      </c>
      <c r="K254" s="136" t="s">
        <v>211</v>
      </c>
      <c r="L254" s="136" t="s">
        <v>211</v>
      </c>
      <c r="M254" s="19">
        <v>2</v>
      </c>
      <c r="N254" s="136" t="s">
        <v>211</v>
      </c>
      <c r="O254" s="136" t="s">
        <v>351</v>
      </c>
      <c r="P254" s="116" t="s">
        <v>211</v>
      </c>
      <c r="Q254" s="6">
        <v>1</v>
      </c>
      <c r="R254" s="8">
        <v>2</v>
      </c>
      <c r="S254" s="8">
        <v>1</v>
      </c>
      <c r="T254" s="136">
        <f t="shared" si="54"/>
        <v>4</v>
      </c>
      <c r="U254" s="136"/>
      <c r="V254" s="136"/>
      <c r="W254" s="136"/>
      <c r="X254" s="136"/>
      <c r="Y254" s="136">
        <f>SUM(U254:X254)</f>
        <v>0</v>
      </c>
      <c r="Z254" s="136">
        <f>SUM(O254+T254+Y254)</f>
        <v>6</v>
      </c>
      <c r="AA254" s="42">
        <f>SUM(Z254/J254)</f>
        <v>0.4</v>
      </c>
      <c r="AB254" s="390" t="s">
        <v>454</v>
      </c>
      <c r="AC254" s="391"/>
    </row>
    <row r="255" spans="2:30" ht="74.25" customHeight="1" outlineLevel="1" x14ac:dyDescent="0.2">
      <c r="B255" s="49"/>
      <c r="C255" s="332"/>
      <c r="D255" s="333"/>
      <c r="E255" s="334"/>
      <c r="F255" s="66"/>
      <c r="G255" s="66" t="s">
        <v>298</v>
      </c>
      <c r="H255" s="19" t="s">
        <v>28</v>
      </c>
      <c r="I255" s="67">
        <v>8</v>
      </c>
      <c r="J255" s="265">
        <v>18</v>
      </c>
      <c r="K255" s="139" t="s">
        <v>211</v>
      </c>
      <c r="L255" s="136">
        <v>1</v>
      </c>
      <c r="M255" s="136" t="s">
        <v>211</v>
      </c>
      <c r="N255" s="136" t="s">
        <v>211</v>
      </c>
      <c r="O255" s="6">
        <f>SUM(K255:N255)</f>
        <v>1</v>
      </c>
      <c r="P255" s="6">
        <v>3</v>
      </c>
      <c r="Q255" s="6">
        <v>1</v>
      </c>
      <c r="R255" s="8">
        <v>8</v>
      </c>
      <c r="S255" s="8">
        <v>4</v>
      </c>
      <c r="T255" s="6">
        <f t="shared" si="54"/>
        <v>16</v>
      </c>
      <c r="U255" s="6"/>
      <c r="V255" s="6"/>
      <c r="W255" s="6"/>
      <c r="X255" s="136"/>
      <c r="Y255" s="6">
        <f>SUM(U255:X255)</f>
        <v>0</v>
      </c>
      <c r="Z255" s="6">
        <f>SUM(O255+T255+Y255)</f>
        <v>17</v>
      </c>
      <c r="AA255" s="70">
        <f>SUM(Z255/J255)</f>
        <v>0.94444444444444442</v>
      </c>
      <c r="AB255" s="390" t="s">
        <v>455</v>
      </c>
      <c r="AC255" s="391"/>
    </row>
    <row r="256" spans="2:30" ht="74.25" customHeight="1" x14ac:dyDescent="0.2">
      <c r="B256" s="49"/>
      <c r="C256" s="344"/>
      <c r="D256" s="344"/>
      <c r="E256" s="344"/>
      <c r="F256" s="66" t="s">
        <v>299</v>
      </c>
      <c r="G256" s="148"/>
      <c r="H256" s="19" t="s">
        <v>25</v>
      </c>
      <c r="I256" s="10">
        <v>9</v>
      </c>
      <c r="J256" s="263">
        <v>4</v>
      </c>
      <c r="K256" s="285">
        <v>1</v>
      </c>
      <c r="L256" s="125" t="s">
        <v>211</v>
      </c>
      <c r="M256" s="125" t="s">
        <v>211</v>
      </c>
      <c r="N256" s="5">
        <v>1</v>
      </c>
      <c r="O256" s="7">
        <f>SUM(K256:N256)</f>
        <v>2</v>
      </c>
      <c r="P256" s="293" t="s">
        <v>211</v>
      </c>
      <c r="Q256" s="7">
        <v>1</v>
      </c>
      <c r="R256" s="293" t="s">
        <v>211</v>
      </c>
      <c r="S256" s="293" t="s">
        <v>211</v>
      </c>
      <c r="T256" s="7">
        <f t="shared" si="54"/>
        <v>1</v>
      </c>
      <c r="U256" s="5"/>
      <c r="V256" s="125"/>
      <c r="W256" s="5"/>
      <c r="X256" s="125"/>
      <c r="Y256" s="7">
        <f>SUM(U256:X256)</f>
        <v>0</v>
      </c>
      <c r="Z256" s="7">
        <f>SUM(O256+T256+Y256)</f>
        <v>3</v>
      </c>
      <c r="AA256" s="42">
        <f>SUM(Z256/J256)</f>
        <v>0.75</v>
      </c>
      <c r="AB256" s="390"/>
      <c r="AC256" s="391"/>
      <c r="AD256" s="120"/>
    </row>
    <row r="257" spans="2:31" s="188" customFormat="1" ht="18.75" customHeight="1" x14ac:dyDescent="0.2">
      <c r="B257" s="351" t="s">
        <v>124</v>
      </c>
      <c r="C257" s="352"/>
      <c r="D257" s="352"/>
      <c r="E257" s="352"/>
      <c r="F257" s="352"/>
      <c r="G257" s="352"/>
      <c r="H257" s="352"/>
      <c r="I257" s="352"/>
      <c r="J257" s="352"/>
      <c r="K257" s="352"/>
      <c r="L257" s="352"/>
      <c r="M257" s="352"/>
      <c r="N257" s="352"/>
      <c r="O257" s="352"/>
      <c r="P257" s="352"/>
      <c r="Q257" s="352"/>
      <c r="R257" s="352"/>
      <c r="S257" s="352"/>
      <c r="T257" s="352"/>
      <c r="U257" s="352"/>
      <c r="V257" s="352"/>
      <c r="W257" s="352"/>
      <c r="X257" s="352"/>
      <c r="Y257" s="352"/>
      <c r="Z257" s="352"/>
      <c r="AA257" s="352"/>
      <c r="AB257" s="352"/>
      <c r="AC257" s="225"/>
    </row>
    <row r="258" spans="2:31" s="188" customFormat="1" ht="14.25" customHeight="1" x14ac:dyDescent="0.2">
      <c r="B258" s="368" t="s">
        <v>102</v>
      </c>
      <c r="C258" s="368"/>
      <c r="D258" s="368"/>
      <c r="E258" s="368"/>
      <c r="F258" s="396" t="s">
        <v>125</v>
      </c>
      <c r="G258" s="396"/>
      <c r="H258" s="396"/>
      <c r="I258" s="396"/>
      <c r="J258" s="396"/>
      <c r="K258" s="396"/>
      <c r="L258" s="396"/>
      <c r="M258" s="396"/>
      <c r="N258" s="396"/>
      <c r="O258" s="396"/>
      <c r="P258" s="396"/>
      <c r="Q258" s="396"/>
      <c r="R258" s="396"/>
      <c r="S258" s="396"/>
      <c r="T258" s="396"/>
      <c r="U258" s="396"/>
      <c r="V258" s="396"/>
      <c r="W258" s="396"/>
      <c r="X258" s="396"/>
      <c r="Y258" s="396"/>
      <c r="Z258" s="396"/>
      <c r="AA258" s="396"/>
      <c r="AB258" s="396"/>
      <c r="AC258" s="396"/>
    </row>
    <row r="259" spans="2:31" s="188" customFormat="1" ht="15" customHeight="1" x14ac:dyDescent="0.2">
      <c r="B259" s="368" t="s">
        <v>103</v>
      </c>
      <c r="C259" s="368"/>
      <c r="D259" s="368"/>
      <c r="E259" s="368"/>
      <c r="F259" s="378" t="s">
        <v>198</v>
      </c>
      <c r="G259" s="378"/>
      <c r="H259" s="378"/>
      <c r="I259" s="378"/>
      <c r="J259" s="378"/>
      <c r="K259" s="378"/>
      <c r="L259" s="378"/>
      <c r="M259" s="378"/>
      <c r="N259" s="378"/>
      <c r="O259" s="378"/>
      <c r="P259" s="378"/>
      <c r="Q259" s="378"/>
      <c r="R259" s="378"/>
      <c r="S259" s="378"/>
      <c r="T259" s="378"/>
      <c r="U259" s="378"/>
      <c r="V259" s="378"/>
      <c r="W259" s="378"/>
      <c r="X259" s="378"/>
      <c r="Y259" s="378"/>
      <c r="Z259" s="378"/>
      <c r="AA259" s="378"/>
      <c r="AB259" s="378"/>
      <c r="AC259" s="378"/>
    </row>
    <row r="260" spans="2:31" ht="21" customHeight="1" x14ac:dyDescent="0.2">
      <c r="B260" s="90"/>
      <c r="C260" s="345" t="s">
        <v>235</v>
      </c>
      <c r="D260" s="346"/>
      <c r="E260" s="346"/>
      <c r="F260" s="346"/>
      <c r="G260" s="346"/>
      <c r="H260" s="346"/>
      <c r="I260" s="346"/>
      <c r="J260" s="346"/>
      <c r="K260" s="346"/>
      <c r="L260" s="346"/>
      <c r="M260" s="346"/>
      <c r="N260" s="346"/>
      <c r="O260" s="346"/>
      <c r="P260" s="346"/>
      <c r="Q260" s="346"/>
      <c r="R260" s="346"/>
      <c r="S260" s="346"/>
      <c r="T260" s="346"/>
      <c r="U260" s="346"/>
      <c r="V260" s="346"/>
      <c r="W260" s="346"/>
      <c r="X260" s="346"/>
      <c r="Y260" s="346"/>
      <c r="Z260" s="346"/>
      <c r="AA260" s="346"/>
      <c r="AB260" s="346"/>
      <c r="AC260" s="347"/>
    </row>
    <row r="261" spans="2:31" ht="51" customHeight="1" x14ac:dyDescent="0.2">
      <c r="B261" s="191" t="s">
        <v>139</v>
      </c>
      <c r="C261" s="379" t="s">
        <v>94</v>
      </c>
      <c r="D261" s="380"/>
      <c r="E261" s="381"/>
      <c r="F261" s="192" t="s">
        <v>95</v>
      </c>
      <c r="G261" s="193" t="s">
        <v>4</v>
      </c>
      <c r="H261" s="194" t="s">
        <v>3</v>
      </c>
      <c r="I261" s="195" t="s">
        <v>96</v>
      </c>
      <c r="J261" s="195" t="s">
        <v>150</v>
      </c>
      <c r="K261" s="1" t="s">
        <v>5</v>
      </c>
      <c r="L261" s="1" t="s">
        <v>6</v>
      </c>
      <c r="M261" s="1" t="s">
        <v>7</v>
      </c>
      <c r="N261" s="1" t="s">
        <v>8</v>
      </c>
      <c r="O261" s="35" t="s">
        <v>157</v>
      </c>
      <c r="P261" s="2" t="s">
        <v>9</v>
      </c>
      <c r="Q261" s="2" t="s">
        <v>10</v>
      </c>
      <c r="R261" s="2" t="s">
        <v>11</v>
      </c>
      <c r="S261" s="2" t="s">
        <v>12</v>
      </c>
      <c r="T261" s="35" t="s">
        <v>158</v>
      </c>
      <c r="U261" s="2" t="s">
        <v>13</v>
      </c>
      <c r="V261" s="2" t="s">
        <v>14</v>
      </c>
      <c r="W261" s="2" t="s">
        <v>15</v>
      </c>
      <c r="X261" s="2" t="s">
        <v>16</v>
      </c>
      <c r="Y261" s="35" t="s">
        <v>159</v>
      </c>
      <c r="Z261" s="196" t="s">
        <v>97</v>
      </c>
      <c r="AA261" s="196" t="s">
        <v>98</v>
      </c>
      <c r="AB261" s="197" t="s">
        <v>256</v>
      </c>
      <c r="AC261" s="196" t="s">
        <v>99</v>
      </c>
    </row>
    <row r="262" spans="2:31" ht="110.25" customHeight="1" x14ac:dyDescent="0.2">
      <c r="B262" s="31">
        <v>2</v>
      </c>
      <c r="C262" s="348" t="s">
        <v>300</v>
      </c>
      <c r="D262" s="348"/>
      <c r="E262" s="348"/>
      <c r="F262" s="49"/>
      <c r="G262" s="213"/>
      <c r="H262" s="5" t="s">
        <v>19</v>
      </c>
      <c r="I262" s="48">
        <v>3191</v>
      </c>
      <c r="J262" s="244">
        <v>3370</v>
      </c>
      <c r="K262" s="69">
        <f>+K263+K267</f>
        <v>372</v>
      </c>
      <c r="L262" s="69">
        <f>+L263+L267</f>
        <v>414</v>
      </c>
      <c r="M262" s="69">
        <f>+M263+M267</f>
        <v>432</v>
      </c>
      <c r="N262" s="69">
        <f>+N263+N267</f>
        <v>310</v>
      </c>
      <c r="O262" s="48">
        <f>SUM(O263+O267)</f>
        <v>1528</v>
      </c>
      <c r="P262" s="48">
        <f>SUM(P263+P267)</f>
        <v>276</v>
      </c>
      <c r="Q262" s="48">
        <f>+Q263+Q267</f>
        <v>253</v>
      </c>
      <c r="R262" s="48">
        <f>+R263+R267</f>
        <v>230</v>
      </c>
      <c r="S262" s="48">
        <f>+S263+S267</f>
        <v>226</v>
      </c>
      <c r="T262" s="48">
        <f t="shared" ref="T262:T269" si="55">SUM(P262+Q262+R262+S262)</f>
        <v>985</v>
      </c>
      <c r="U262" s="48"/>
      <c r="V262" s="48"/>
      <c r="W262" s="48"/>
      <c r="X262" s="48"/>
      <c r="Y262" s="48">
        <f>SUM(U262:X262)</f>
        <v>0</v>
      </c>
      <c r="Z262" s="48">
        <f>SUM(O262+T262+Y262)</f>
        <v>2513</v>
      </c>
      <c r="AA262" s="42">
        <f t="shared" ref="AA262:AA269" si="56">SUM(Z262/J262)</f>
        <v>0.74569732937685462</v>
      </c>
      <c r="AB262" s="3">
        <v>34629981</v>
      </c>
      <c r="AC262" s="270" t="s">
        <v>437</v>
      </c>
      <c r="AD262" s="63">
        <f>403+402+403+403</f>
        <v>1611</v>
      </c>
      <c r="AE262" s="232"/>
    </row>
    <row r="263" spans="2:31" ht="89.25" customHeight="1" outlineLevel="1" x14ac:dyDescent="0.2">
      <c r="B263" s="49"/>
      <c r="C263" s="344"/>
      <c r="D263" s="344"/>
      <c r="E263" s="344"/>
      <c r="F263" s="66" t="s">
        <v>304</v>
      </c>
      <c r="G263" s="51"/>
      <c r="H263" s="5" t="s">
        <v>25</v>
      </c>
      <c r="I263" s="10">
        <v>2806</v>
      </c>
      <c r="J263" s="268">
        <v>3068</v>
      </c>
      <c r="K263" s="10">
        <v>343</v>
      </c>
      <c r="L263" s="10">
        <v>379</v>
      </c>
      <c r="M263" s="10">
        <v>397</v>
      </c>
      <c r="N263" s="10">
        <v>277</v>
      </c>
      <c r="O263" s="48">
        <f t="shared" ref="O263:O269" si="57">SUM(K263:N263)</f>
        <v>1396</v>
      </c>
      <c r="P263" s="10">
        <v>244</v>
      </c>
      <c r="Q263" s="10">
        <v>222</v>
      </c>
      <c r="R263" s="10">
        <v>208</v>
      </c>
      <c r="S263" s="10">
        <v>205</v>
      </c>
      <c r="T263" s="48">
        <f t="shared" si="55"/>
        <v>879</v>
      </c>
      <c r="U263" s="10"/>
      <c r="V263" s="10"/>
      <c r="W263" s="10"/>
      <c r="X263" s="10"/>
      <c r="Y263" s="48">
        <f t="shared" ref="Y263:Y268" si="58">SUM(U263:X263)</f>
        <v>0</v>
      </c>
      <c r="Z263" s="48">
        <f>SUM(O263+T263+Y263)</f>
        <v>2275</v>
      </c>
      <c r="AA263" s="42">
        <f t="shared" si="56"/>
        <v>0.74152542372881358</v>
      </c>
      <c r="AB263" s="3"/>
      <c r="AC263" s="93"/>
      <c r="AD263" s="63">
        <f>403+402+403+403</f>
        <v>1611</v>
      </c>
      <c r="AE263" s="232"/>
    </row>
    <row r="264" spans="2:31" ht="60.75" customHeight="1" outlineLevel="2" x14ac:dyDescent="0.2">
      <c r="B264" s="49"/>
      <c r="C264" s="344"/>
      <c r="D264" s="344"/>
      <c r="E264" s="344"/>
      <c r="F264" s="158"/>
      <c r="G264" s="16" t="s">
        <v>173</v>
      </c>
      <c r="H264" s="8" t="s">
        <v>25</v>
      </c>
      <c r="I264" s="67">
        <v>1000</v>
      </c>
      <c r="J264" s="269">
        <v>1262</v>
      </c>
      <c r="K264" s="8">
        <v>184</v>
      </c>
      <c r="L264" s="8">
        <v>226</v>
      </c>
      <c r="M264" s="8">
        <v>246</v>
      </c>
      <c r="N264" s="8">
        <v>128</v>
      </c>
      <c r="O264" s="6">
        <f t="shared" si="57"/>
        <v>784</v>
      </c>
      <c r="P264" s="8">
        <v>75</v>
      </c>
      <c r="Q264" s="8">
        <v>61</v>
      </c>
      <c r="R264" s="8">
        <v>57</v>
      </c>
      <c r="S264" s="8">
        <v>60</v>
      </c>
      <c r="T264" s="6">
        <f>SUM(P264+Q264+R264+S264)</f>
        <v>253</v>
      </c>
      <c r="U264" s="8"/>
      <c r="V264" s="8"/>
      <c r="W264" s="8"/>
      <c r="X264" s="8"/>
      <c r="Y264" s="6">
        <f t="shared" si="58"/>
        <v>0</v>
      </c>
      <c r="Z264" s="99">
        <f t="shared" ref="Z264:Z269" si="59">SUM(O264+T264+Y264)</f>
        <v>1037</v>
      </c>
      <c r="AA264" s="70">
        <f t="shared" si="56"/>
        <v>0.8217115689381933</v>
      </c>
      <c r="AB264" s="387" t="s">
        <v>411</v>
      </c>
      <c r="AC264" s="388"/>
    </row>
    <row r="265" spans="2:31" ht="85.5" customHeight="1" outlineLevel="2" x14ac:dyDescent="0.2">
      <c r="B265" s="49"/>
      <c r="C265" s="344"/>
      <c r="D265" s="344"/>
      <c r="E265" s="344"/>
      <c r="F265" s="158"/>
      <c r="G265" s="16" t="s">
        <v>174</v>
      </c>
      <c r="H265" s="8" t="s">
        <v>25</v>
      </c>
      <c r="I265" s="67">
        <v>200</v>
      </c>
      <c r="J265" s="269">
        <v>200</v>
      </c>
      <c r="K265" s="8">
        <v>24</v>
      </c>
      <c r="L265" s="8">
        <v>19</v>
      </c>
      <c r="M265" s="8">
        <v>36</v>
      </c>
      <c r="N265" s="8">
        <v>14</v>
      </c>
      <c r="O265" s="6">
        <f t="shared" si="57"/>
        <v>93</v>
      </c>
      <c r="P265" s="8">
        <v>28</v>
      </c>
      <c r="Q265" s="8">
        <v>16</v>
      </c>
      <c r="R265" s="8">
        <v>11</v>
      </c>
      <c r="S265" s="8">
        <v>10</v>
      </c>
      <c r="T265" s="6">
        <f t="shared" si="55"/>
        <v>65</v>
      </c>
      <c r="U265" s="8"/>
      <c r="V265" s="8"/>
      <c r="W265" s="8"/>
      <c r="X265" s="8"/>
      <c r="Y265" s="6">
        <f t="shared" si="58"/>
        <v>0</v>
      </c>
      <c r="Z265" s="6">
        <f t="shared" si="59"/>
        <v>158</v>
      </c>
      <c r="AA265" s="70">
        <f t="shared" si="56"/>
        <v>0.79</v>
      </c>
      <c r="AB265" s="387" t="s">
        <v>412</v>
      </c>
      <c r="AC265" s="388"/>
    </row>
    <row r="266" spans="2:31" ht="60" customHeight="1" outlineLevel="2" x14ac:dyDescent="0.2">
      <c r="B266" s="49"/>
      <c r="C266" s="344"/>
      <c r="D266" s="344"/>
      <c r="E266" s="344"/>
      <c r="F266" s="158"/>
      <c r="G266" s="16" t="s">
        <v>175</v>
      </c>
      <c r="H266" s="8" t="s">
        <v>25</v>
      </c>
      <c r="I266" s="67">
        <v>1606</v>
      </c>
      <c r="J266" s="68">
        <v>1606</v>
      </c>
      <c r="K266" s="8">
        <v>135</v>
      </c>
      <c r="L266" s="8">
        <v>134</v>
      </c>
      <c r="M266" s="8">
        <v>115</v>
      </c>
      <c r="N266" s="8">
        <v>135</v>
      </c>
      <c r="O266" s="6">
        <f t="shared" si="57"/>
        <v>519</v>
      </c>
      <c r="P266" s="8">
        <v>141</v>
      </c>
      <c r="Q266" s="8">
        <v>145</v>
      </c>
      <c r="R266" s="8">
        <v>140</v>
      </c>
      <c r="S266" s="8">
        <v>135</v>
      </c>
      <c r="T266" s="6">
        <f t="shared" si="55"/>
        <v>561</v>
      </c>
      <c r="U266" s="8"/>
      <c r="V266" s="8"/>
      <c r="W266" s="8"/>
      <c r="X266" s="8"/>
      <c r="Y266" s="6">
        <f t="shared" si="58"/>
        <v>0</v>
      </c>
      <c r="Z266" s="99">
        <f>SUM(O266+T266+Y266)</f>
        <v>1080</v>
      </c>
      <c r="AA266" s="70">
        <f t="shared" si="56"/>
        <v>0.67247820672478209</v>
      </c>
      <c r="AB266" s="387" t="s">
        <v>354</v>
      </c>
      <c r="AC266" s="388"/>
      <c r="AE266" s="232"/>
    </row>
    <row r="267" spans="2:31" ht="127.5" outlineLevel="1" x14ac:dyDescent="0.2">
      <c r="B267" s="49"/>
      <c r="C267" s="344"/>
      <c r="D267" s="344"/>
      <c r="E267" s="344"/>
      <c r="F267" s="66" t="s">
        <v>301</v>
      </c>
      <c r="G267" s="51"/>
      <c r="H267" s="162" t="s">
        <v>25</v>
      </c>
      <c r="I267" s="10">
        <f>SUM(I268:I269)</f>
        <v>385</v>
      </c>
      <c r="J267" s="244">
        <v>302</v>
      </c>
      <c r="K267" s="5">
        <v>29</v>
      </c>
      <c r="L267" s="5">
        <v>35</v>
      </c>
      <c r="M267" s="5">
        <v>35</v>
      </c>
      <c r="N267" s="5">
        <v>33</v>
      </c>
      <c r="O267" s="7">
        <f t="shared" si="57"/>
        <v>132</v>
      </c>
      <c r="P267" s="5">
        <v>32</v>
      </c>
      <c r="Q267" s="5">
        <v>31</v>
      </c>
      <c r="R267" s="5">
        <v>22</v>
      </c>
      <c r="S267" s="5">
        <v>21</v>
      </c>
      <c r="T267" s="7">
        <f t="shared" si="55"/>
        <v>106</v>
      </c>
      <c r="U267" s="5"/>
      <c r="V267" s="5"/>
      <c r="W267" s="5"/>
      <c r="X267" s="5"/>
      <c r="Y267" s="7">
        <f t="shared" si="58"/>
        <v>0</v>
      </c>
      <c r="Z267" s="7">
        <f t="shared" si="59"/>
        <v>238</v>
      </c>
      <c r="AA267" s="42">
        <f t="shared" si="56"/>
        <v>0.78807947019867552</v>
      </c>
      <c r="AB267" s="3"/>
      <c r="AC267" s="3"/>
      <c r="AD267" s="63">
        <f>33+32+30+30</f>
        <v>125</v>
      </c>
    </row>
    <row r="268" spans="2:31" ht="103.5" customHeight="1" outlineLevel="2" x14ac:dyDescent="0.2">
      <c r="B268" s="49"/>
      <c r="C268" s="344"/>
      <c r="D268" s="344"/>
      <c r="E268" s="344"/>
      <c r="F268" s="157"/>
      <c r="G268" s="16" t="s">
        <v>302</v>
      </c>
      <c r="H268" s="19" t="s">
        <v>19</v>
      </c>
      <c r="I268" s="67">
        <v>360</v>
      </c>
      <c r="J268" s="245">
        <v>277</v>
      </c>
      <c r="K268" s="8">
        <v>28</v>
      </c>
      <c r="L268" s="8">
        <v>30</v>
      </c>
      <c r="M268" s="8">
        <v>31</v>
      </c>
      <c r="N268" s="8">
        <v>32</v>
      </c>
      <c r="O268" s="6">
        <f t="shared" si="57"/>
        <v>121</v>
      </c>
      <c r="P268" s="8">
        <v>30</v>
      </c>
      <c r="Q268" s="8">
        <v>30</v>
      </c>
      <c r="R268" s="8">
        <v>20</v>
      </c>
      <c r="S268" s="8">
        <v>20</v>
      </c>
      <c r="T268" s="6">
        <f t="shared" si="55"/>
        <v>100</v>
      </c>
      <c r="U268" s="8"/>
      <c r="V268" s="8"/>
      <c r="W268" s="8"/>
      <c r="X268" s="8"/>
      <c r="Y268" s="6">
        <f t="shared" si="58"/>
        <v>0</v>
      </c>
      <c r="Z268" s="6">
        <f t="shared" si="59"/>
        <v>221</v>
      </c>
      <c r="AA268" s="70">
        <f t="shared" si="56"/>
        <v>0.79783393501805056</v>
      </c>
      <c r="AB268" s="387" t="s">
        <v>464</v>
      </c>
      <c r="AC268" s="389"/>
    </row>
    <row r="269" spans="2:31" ht="84" customHeight="1" outlineLevel="2" x14ac:dyDescent="0.2">
      <c r="B269" s="49"/>
      <c r="C269" s="344"/>
      <c r="D269" s="344"/>
      <c r="E269" s="344"/>
      <c r="F269" s="157"/>
      <c r="G269" s="16" t="s">
        <v>303</v>
      </c>
      <c r="H269" s="19" t="s">
        <v>19</v>
      </c>
      <c r="I269" s="67">
        <v>25</v>
      </c>
      <c r="J269" s="8">
        <v>25</v>
      </c>
      <c r="K269" s="8">
        <v>1</v>
      </c>
      <c r="L269" s="8">
        <v>5</v>
      </c>
      <c r="M269" s="8">
        <v>4</v>
      </c>
      <c r="N269" s="8">
        <v>1</v>
      </c>
      <c r="O269" s="6">
        <f t="shared" si="57"/>
        <v>11</v>
      </c>
      <c r="P269" s="8">
        <v>2</v>
      </c>
      <c r="Q269" s="8">
        <v>1</v>
      </c>
      <c r="R269" s="8">
        <v>2</v>
      </c>
      <c r="S269" s="113" t="s">
        <v>353</v>
      </c>
      <c r="T269" s="6">
        <f t="shared" si="55"/>
        <v>6</v>
      </c>
      <c r="U269" s="8"/>
      <c r="V269" s="8"/>
      <c r="W269" s="8"/>
      <c r="X269" s="8"/>
      <c r="Y269" s="6">
        <f>SUM(U269:X269)</f>
        <v>0</v>
      </c>
      <c r="Z269" s="6">
        <f t="shared" si="59"/>
        <v>17</v>
      </c>
      <c r="AA269" s="70">
        <f t="shared" si="56"/>
        <v>0.68</v>
      </c>
      <c r="AB269" s="387" t="s">
        <v>465</v>
      </c>
      <c r="AC269" s="389"/>
    </row>
    <row r="270" spans="2:31" s="188" customFormat="1" ht="18.75" customHeight="1" x14ac:dyDescent="0.2">
      <c r="B270" s="351" t="s">
        <v>155</v>
      </c>
      <c r="C270" s="352"/>
      <c r="D270" s="352"/>
      <c r="E270" s="352"/>
      <c r="F270" s="352"/>
      <c r="G270" s="352"/>
      <c r="H270" s="352"/>
      <c r="I270" s="352"/>
      <c r="J270" s="352"/>
      <c r="K270" s="352"/>
      <c r="L270" s="352"/>
      <c r="M270" s="352"/>
      <c r="N270" s="352"/>
      <c r="O270" s="352"/>
      <c r="P270" s="352"/>
      <c r="Q270" s="352"/>
      <c r="R270" s="352"/>
      <c r="S270" s="352"/>
      <c r="T270" s="352"/>
      <c r="U270" s="352"/>
      <c r="V270" s="352"/>
      <c r="W270" s="352"/>
      <c r="X270" s="352"/>
      <c r="Y270" s="352"/>
      <c r="Z270" s="352"/>
      <c r="AA270" s="352"/>
      <c r="AB270" s="352"/>
      <c r="AC270" s="225"/>
    </row>
    <row r="271" spans="2:31" s="188" customFormat="1" ht="30.75" customHeight="1" x14ac:dyDescent="0.2">
      <c r="B271" s="349" t="s">
        <v>102</v>
      </c>
      <c r="C271" s="349"/>
      <c r="D271" s="349"/>
      <c r="E271" s="349"/>
      <c r="F271" s="396" t="s">
        <v>128</v>
      </c>
      <c r="G271" s="396"/>
      <c r="H271" s="396"/>
      <c r="I271" s="396"/>
      <c r="J271" s="396"/>
      <c r="K271" s="396"/>
      <c r="L271" s="396"/>
      <c r="M271" s="396"/>
      <c r="N271" s="396"/>
      <c r="O271" s="396"/>
      <c r="P271" s="396"/>
      <c r="Q271" s="396"/>
      <c r="R271" s="396"/>
      <c r="S271" s="396"/>
      <c r="T271" s="396"/>
      <c r="U271" s="396"/>
      <c r="V271" s="396"/>
      <c r="W271" s="396"/>
      <c r="X271" s="396"/>
      <c r="Y271" s="396"/>
      <c r="Z271" s="396"/>
      <c r="AA271" s="396"/>
      <c r="AB271" s="396"/>
      <c r="AC271" s="396"/>
    </row>
    <row r="272" spans="2:31" s="188" customFormat="1" ht="15" customHeight="1" x14ac:dyDescent="0.2">
      <c r="B272" s="368" t="s">
        <v>103</v>
      </c>
      <c r="C272" s="368"/>
      <c r="D272" s="368"/>
      <c r="E272" s="368"/>
      <c r="F272" s="378" t="s">
        <v>199</v>
      </c>
      <c r="G272" s="378"/>
      <c r="H272" s="378"/>
      <c r="I272" s="378"/>
      <c r="J272" s="378"/>
      <c r="K272" s="378"/>
      <c r="L272" s="378"/>
      <c r="M272" s="378"/>
      <c r="N272" s="378"/>
      <c r="O272" s="378"/>
      <c r="P272" s="378"/>
      <c r="Q272" s="378"/>
      <c r="R272" s="378"/>
      <c r="S272" s="378"/>
      <c r="T272" s="378"/>
      <c r="U272" s="378"/>
      <c r="V272" s="378"/>
      <c r="W272" s="378"/>
      <c r="X272" s="378"/>
      <c r="Y272" s="378"/>
      <c r="Z272" s="378"/>
      <c r="AA272" s="378"/>
      <c r="AB272" s="378"/>
      <c r="AC272" s="378"/>
    </row>
    <row r="273" spans="2:30" ht="21" customHeight="1" x14ac:dyDescent="0.2">
      <c r="B273" s="90"/>
      <c r="C273" s="345" t="s">
        <v>235</v>
      </c>
      <c r="D273" s="346"/>
      <c r="E273" s="346"/>
      <c r="F273" s="346"/>
      <c r="G273" s="346"/>
      <c r="H273" s="346"/>
      <c r="I273" s="346"/>
      <c r="J273" s="346"/>
      <c r="K273" s="346"/>
      <c r="L273" s="346"/>
      <c r="M273" s="346"/>
      <c r="N273" s="346"/>
      <c r="O273" s="346"/>
      <c r="P273" s="346"/>
      <c r="Q273" s="346"/>
      <c r="R273" s="346"/>
      <c r="S273" s="346"/>
      <c r="T273" s="346"/>
      <c r="U273" s="346"/>
      <c r="V273" s="346"/>
      <c r="W273" s="346"/>
      <c r="X273" s="346"/>
      <c r="Y273" s="346"/>
      <c r="Z273" s="346"/>
      <c r="AA273" s="346"/>
      <c r="AB273" s="346"/>
      <c r="AC273" s="347"/>
    </row>
    <row r="274" spans="2:30" ht="51" customHeight="1" x14ac:dyDescent="0.2">
      <c r="B274" s="191" t="s">
        <v>139</v>
      </c>
      <c r="C274" s="379" t="s">
        <v>94</v>
      </c>
      <c r="D274" s="380"/>
      <c r="E274" s="381"/>
      <c r="F274" s="192" t="s">
        <v>95</v>
      </c>
      <c r="G274" s="193" t="s">
        <v>4</v>
      </c>
      <c r="H274" s="194" t="s">
        <v>3</v>
      </c>
      <c r="I274" s="195" t="s">
        <v>96</v>
      </c>
      <c r="J274" s="195" t="s">
        <v>150</v>
      </c>
      <c r="K274" s="1" t="s">
        <v>5</v>
      </c>
      <c r="L274" s="1" t="s">
        <v>6</v>
      </c>
      <c r="M274" s="1" t="s">
        <v>7</v>
      </c>
      <c r="N274" s="1" t="s">
        <v>8</v>
      </c>
      <c r="O274" s="35" t="s">
        <v>157</v>
      </c>
      <c r="P274" s="2" t="s">
        <v>9</v>
      </c>
      <c r="Q274" s="2" t="s">
        <v>10</v>
      </c>
      <c r="R274" s="2" t="s">
        <v>11</v>
      </c>
      <c r="S274" s="2" t="s">
        <v>12</v>
      </c>
      <c r="T274" s="35" t="s">
        <v>158</v>
      </c>
      <c r="U274" s="2" t="s">
        <v>13</v>
      </c>
      <c r="V274" s="2" t="s">
        <v>14</v>
      </c>
      <c r="W274" s="2" t="s">
        <v>15</v>
      </c>
      <c r="X274" s="2" t="s">
        <v>16</v>
      </c>
      <c r="Y274" s="35" t="s">
        <v>159</v>
      </c>
      <c r="Z274" s="196" t="s">
        <v>97</v>
      </c>
      <c r="AA274" s="196" t="s">
        <v>98</v>
      </c>
      <c r="AB274" s="197" t="s">
        <v>256</v>
      </c>
      <c r="AC274" s="196" t="s">
        <v>99</v>
      </c>
    </row>
    <row r="275" spans="2:30" ht="51.75" customHeight="1" x14ac:dyDescent="0.2">
      <c r="B275" s="31">
        <v>3</v>
      </c>
      <c r="C275" s="348" t="s">
        <v>305</v>
      </c>
      <c r="D275" s="348"/>
      <c r="E275" s="348"/>
      <c r="F275" s="163"/>
      <c r="G275" s="66"/>
      <c r="H275" s="5" t="s">
        <v>19</v>
      </c>
      <c r="I275" s="69">
        <v>474</v>
      </c>
      <c r="J275" s="268">
        <v>411</v>
      </c>
      <c r="K275" s="69">
        <v>31</v>
      </c>
      <c r="L275" s="69">
        <v>34</v>
      </c>
      <c r="M275" s="69">
        <v>47</v>
      </c>
      <c r="N275" s="69">
        <v>41</v>
      </c>
      <c r="O275" s="10">
        <f>SUM(K275:N275)</f>
        <v>153</v>
      </c>
      <c r="P275" s="69">
        <v>35</v>
      </c>
      <c r="Q275" s="69">
        <v>30</v>
      </c>
      <c r="R275" s="69">
        <v>32</v>
      </c>
      <c r="S275" s="69">
        <v>35</v>
      </c>
      <c r="T275" s="10">
        <f t="shared" ref="T275:T279" si="60">SUM(P275+Q275+R275+S275)</f>
        <v>132</v>
      </c>
      <c r="U275" s="7"/>
      <c r="V275" s="7"/>
      <c r="W275" s="7"/>
      <c r="X275" s="7"/>
      <c r="Y275" s="10">
        <f>SUM(U275:X275)</f>
        <v>0</v>
      </c>
      <c r="Z275" s="69">
        <f>SUM(O275+T275+Y275)</f>
        <v>285</v>
      </c>
      <c r="AA275" s="42">
        <f>SUM(Z275/J275)</f>
        <v>0.69343065693430661</v>
      </c>
      <c r="AB275" s="3">
        <v>3482260</v>
      </c>
      <c r="AC275" s="270" t="s">
        <v>425</v>
      </c>
      <c r="AD275" s="63">
        <f>129+131+112+95</f>
        <v>467</v>
      </c>
    </row>
    <row r="276" spans="2:30" ht="45" customHeight="1" x14ac:dyDescent="0.2">
      <c r="B276" s="49"/>
      <c r="C276" s="344"/>
      <c r="D276" s="344"/>
      <c r="E276" s="344"/>
      <c r="F276" s="66" t="s">
        <v>176</v>
      </c>
      <c r="G276" s="66"/>
      <c r="H276" s="8" t="s">
        <v>19</v>
      </c>
      <c r="I276" s="69">
        <v>474</v>
      </c>
      <c r="J276" s="268">
        <v>411</v>
      </c>
      <c r="K276" s="69">
        <v>31</v>
      </c>
      <c r="L276" s="69">
        <v>34</v>
      </c>
      <c r="M276" s="69">
        <v>47</v>
      </c>
      <c r="N276" s="69">
        <v>41</v>
      </c>
      <c r="O276" s="10">
        <f>SUM(K276:N276)</f>
        <v>153</v>
      </c>
      <c r="P276" s="69">
        <v>35</v>
      </c>
      <c r="Q276" s="69">
        <v>30</v>
      </c>
      <c r="R276" s="69">
        <v>32</v>
      </c>
      <c r="S276" s="69">
        <v>35</v>
      </c>
      <c r="T276" s="10">
        <f t="shared" si="60"/>
        <v>132</v>
      </c>
      <c r="U276" s="5"/>
      <c r="V276" s="5"/>
      <c r="W276" s="5"/>
      <c r="X276" s="5"/>
      <c r="Y276" s="7">
        <f>SUM(U276:X276)</f>
        <v>0</v>
      </c>
      <c r="Z276" s="69">
        <f>SUM(O276+T276+Y276)</f>
        <v>285</v>
      </c>
      <c r="AA276" s="42">
        <f>SUM(Z276/J276)</f>
        <v>0.69343065693430661</v>
      </c>
      <c r="AB276" s="9"/>
      <c r="AC276" s="94"/>
      <c r="AD276" s="63">
        <f>129+131+112+95</f>
        <v>467</v>
      </c>
    </row>
    <row r="277" spans="2:30" ht="84" customHeight="1" outlineLevel="1" x14ac:dyDescent="0.2">
      <c r="B277" s="49"/>
      <c r="C277" s="344"/>
      <c r="D277" s="344"/>
      <c r="E277" s="344"/>
      <c r="F277" s="161"/>
      <c r="G277" s="60" t="s">
        <v>209</v>
      </c>
      <c r="H277" s="8" t="s">
        <v>19</v>
      </c>
      <c r="I277" s="67">
        <v>220</v>
      </c>
      <c r="J277" s="265">
        <v>186</v>
      </c>
      <c r="K277" s="6">
        <v>13</v>
      </c>
      <c r="L277" s="6">
        <v>14</v>
      </c>
      <c r="M277" s="6">
        <v>25</v>
      </c>
      <c r="N277" s="6">
        <v>20</v>
      </c>
      <c r="O277" s="6">
        <f>SUM(K277:N277)</f>
        <v>72</v>
      </c>
      <c r="P277" s="8">
        <v>17</v>
      </c>
      <c r="Q277" s="8">
        <v>10</v>
      </c>
      <c r="R277" s="8">
        <v>16</v>
      </c>
      <c r="S277" s="8">
        <v>14</v>
      </c>
      <c r="T277" s="6">
        <f t="shared" si="60"/>
        <v>57</v>
      </c>
      <c r="U277" s="8"/>
      <c r="V277" s="8"/>
      <c r="W277" s="8"/>
      <c r="X277" s="8"/>
      <c r="Y277" s="6">
        <f>SUM(U277:X277)</f>
        <v>0</v>
      </c>
      <c r="Z277" s="6">
        <f>SUM(O277+T277+Y277)</f>
        <v>129</v>
      </c>
      <c r="AA277" s="70">
        <f>SUM(Z277/J277)</f>
        <v>0.69354838709677424</v>
      </c>
      <c r="AB277" s="17"/>
      <c r="AC277" s="17"/>
    </row>
    <row r="278" spans="2:30" ht="64.5" customHeight="1" outlineLevel="1" x14ac:dyDescent="0.2">
      <c r="B278" s="49"/>
      <c r="C278" s="344"/>
      <c r="D278" s="344"/>
      <c r="E278" s="344"/>
      <c r="F278" s="161"/>
      <c r="G278" s="60" t="s">
        <v>200</v>
      </c>
      <c r="H278" s="8" t="s">
        <v>19</v>
      </c>
      <c r="I278" s="67">
        <v>87</v>
      </c>
      <c r="J278" s="265">
        <v>80</v>
      </c>
      <c r="K278" s="6">
        <v>5</v>
      </c>
      <c r="L278" s="6">
        <v>6</v>
      </c>
      <c r="M278" s="6">
        <v>7</v>
      </c>
      <c r="N278" s="6">
        <v>7</v>
      </c>
      <c r="O278" s="6">
        <f>SUM(K278:N278)</f>
        <v>25</v>
      </c>
      <c r="P278" s="8">
        <v>6</v>
      </c>
      <c r="Q278" s="8">
        <v>8</v>
      </c>
      <c r="R278" s="8">
        <v>6</v>
      </c>
      <c r="S278" s="8">
        <v>8</v>
      </c>
      <c r="T278" s="6">
        <f t="shared" si="60"/>
        <v>28</v>
      </c>
      <c r="U278" s="8"/>
      <c r="V278" s="8"/>
      <c r="W278" s="8"/>
      <c r="X278" s="8"/>
      <c r="Y278" s="6">
        <f>SUM(U278:X278)</f>
        <v>0</v>
      </c>
      <c r="Z278" s="6">
        <f>SUM(O278+T278+Y278)</f>
        <v>53</v>
      </c>
      <c r="AA278" s="70">
        <f>SUM(Z278/J278)</f>
        <v>0.66249999999999998</v>
      </c>
      <c r="AB278" s="8"/>
      <c r="AC278" s="8"/>
    </row>
    <row r="279" spans="2:30" ht="127.5" outlineLevel="1" x14ac:dyDescent="0.2">
      <c r="B279" s="49"/>
      <c r="C279" s="344"/>
      <c r="D279" s="344"/>
      <c r="E279" s="344"/>
      <c r="F279" s="162"/>
      <c r="G279" s="60" t="s">
        <v>201</v>
      </c>
      <c r="H279" s="8" t="s">
        <v>19</v>
      </c>
      <c r="I279" s="67">
        <v>167</v>
      </c>
      <c r="J279" s="265">
        <v>145</v>
      </c>
      <c r="K279" s="6">
        <v>13</v>
      </c>
      <c r="L279" s="6">
        <v>14</v>
      </c>
      <c r="M279" s="6">
        <v>15</v>
      </c>
      <c r="N279" s="6">
        <v>14</v>
      </c>
      <c r="O279" s="6">
        <f>SUM(K279:N279)</f>
        <v>56</v>
      </c>
      <c r="P279" s="8">
        <v>12</v>
      </c>
      <c r="Q279" s="8">
        <v>12</v>
      </c>
      <c r="R279" s="8">
        <v>10</v>
      </c>
      <c r="S279" s="8">
        <v>13</v>
      </c>
      <c r="T279" s="6">
        <f t="shared" si="60"/>
        <v>47</v>
      </c>
      <c r="U279" s="8"/>
      <c r="V279" s="8"/>
      <c r="W279" s="68"/>
      <c r="X279" s="8"/>
      <c r="Y279" s="6">
        <f>SUM(U279:X279)</f>
        <v>0</v>
      </c>
      <c r="Z279" s="6">
        <f>SUM(O279+T279+Y279)</f>
        <v>103</v>
      </c>
      <c r="AA279" s="70">
        <f>SUM(Z279/J279)</f>
        <v>0.71034482758620687</v>
      </c>
      <c r="AB279" s="17"/>
      <c r="AC279" s="17"/>
    </row>
    <row r="280" spans="2:30" ht="21" customHeight="1" x14ac:dyDescent="0.2">
      <c r="B280" s="363" t="s">
        <v>75</v>
      </c>
      <c r="C280" s="363"/>
      <c r="D280" s="363"/>
      <c r="E280" s="363"/>
      <c r="F280" s="363"/>
      <c r="G280" s="363"/>
      <c r="H280" s="363"/>
      <c r="I280" s="363"/>
      <c r="J280" s="363"/>
      <c r="K280" s="363"/>
      <c r="L280" s="363"/>
      <c r="M280" s="363"/>
      <c r="N280" s="363"/>
      <c r="O280" s="363"/>
      <c r="P280" s="363"/>
      <c r="Q280" s="363"/>
      <c r="R280" s="363"/>
      <c r="S280" s="363"/>
      <c r="T280" s="363"/>
      <c r="U280" s="363"/>
      <c r="V280" s="363"/>
      <c r="W280" s="363"/>
      <c r="X280" s="363"/>
      <c r="Y280" s="363"/>
      <c r="Z280" s="363"/>
      <c r="AA280" s="363"/>
      <c r="AB280" s="363"/>
      <c r="AC280" s="363"/>
    </row>
    <row r="281" spans="2:30" s="188" customFormat="1" ht="19.5" customHeight="1" x14ac:dyDescent="0.2">
      <c r="B281" s="373" t="s">
        <v>100</v>
      </c>
      <c r="C281" s="373"/>
      <c r="D281" s="373"/>
      <c r="E281" s="373"/>
      <c r="F281" s="408" t="s">
        <v>130</v>
      </c>
      <c r="G281" s="408"/>
      <c r="H281" s="408"/>
      <c r="I281" s="408"/>
      <c r="J281" s="408"/>
      <c r="K281" s="408"/>
      <c r="L281" s="408"/>
      <c r="M281" s="408"/>
      <c r="N281" s="408"/>
      <c r="O281" s="408"/>
      <c r="P281" s="408"/>
      <c r="Q281" s="408"/>
      <c r="R281" s="408"/>
      <c r="S281" s="408"/>
      <c r="T281" s="408"/>
      <c r="U281" s="408"/>
      <c r="V281" s="408"/>
      <c r="W281" s="408"/>
      <c r="X281" s="408"/>
      <c r="Y281" s="408"/>
      <c r="Z281" s="408"/>
      <c r="AA281" s="408"/>
      <c r="AB281" s="408"/>
      <c r="AC281" s="408"/>
    </row>
    <row r="282" spans="2:30" s="188" customFormat="1" ht="52.5" customHeight="1" x14ac:dyDescent="0.2">
      <c r="B282" s="377" t="s">
        <v>129</v>
      </c>
      <c r="C282" s="377"/>
      <c r="D282" s="377"/>
      <c r="E282" s="377"/>
      <c r="F282" s="382" t="s">
        <v>340</v>
      </c>
      <c r="G282" s="382"/>
      <c r="H282" s="382"/>
      <c r="I282" s="382"/>
      <c r="J282" s="382"/>
      <c r="K282" s="382"/>
      <c r="L282" s="382"/>
      <c r="M282" s="382"/>
      <c r="N282" s="382"/>
      <c r="O282" s="382"/>
      <c r="P282" s="382"/>
      <c r="Q282" s="382"/>
      <c r="R282" s="382"/>
      <c r="S282" s="382"/>
      <c r="T282" s="382"/>
      <c r="U282" s="382"/>
      <c r="V282" s="382"/>
      <c r="W282" s="382"/>
      <c r="X282" s="382"/>
      <c r="Y282" s="382"/>
      <c r="Z282" s="382"/>
      <c r="AA282" s="382"/>
      <c r="AB282" s="382"/>
      <c r="AC282" s="382"/>
    </row>
    <row r="283" spans="2:30" s="188" customFormat="1" ht="54" customHeight="1" x14ac:dyDescent="0.2">
      <c r="B283" s="369" t="s">
        <v>339</v>
      </c>
      <c r="C283" s="370"/>
      <c r="D283" s="370"/>
      <c r="E283" s="371"/>
      <c r="F283" s="374" t="s">
        <v>341</v>
      </c>
      <c r="G283" s="375"/>
      <c r="H283" s="375"/>
      <c r="I283" s="375"/>
      <c r="J283" s="375"/>
      <c r="K283" s="375"/>
      <c r="L283" s="375"/>
      <c r="M283" s="375"/>
      <c r="N283" s="375"/>
      <c r="O283" s="375"/>
      <c r="P283" s="375"/>
      <c r="Q283" s="375"/>
      <c r="R283" s="375"/>
      <c r="S283" s="375"/>
      <c r="T283" s="375"/>
      <c r="U283" s="375"/>
      <c r="V283" s="375"/>
      <c r="W283" s="375"/>
      <c r="X283" s="375"/>
      <c r="Y283" s="375"/>
      <c r="Z283" s="375"/>
      <c r="AA283" s="375"/>
      <c r="AB283" s="375"/>
      <c r="AC283" s="376"/>
    </row>
    <row r="284" spans="2:30" s="188" customFormat="1" ht="33.75" customHeight="1" x14ac:dyDescent="0.2">
      <c r="B284" s="373" t="s">
        <v>90</v>
      </c>
      <c r="C284" s="373"/>
      <c r="D284" s="373"/>
      <c r="E284" s="373"/>
      <c r="F284" s="337" t="s">
        <v>342</v>
      </c>
      <c r="G284" s="337"/>
      <c r="H284" s="337"/>
      <c r="I284" s="337"/>
      <c r="J284" s="337"/>
      <c r="K284" s="337"/>
      <c r="L284" s="337"/>
      <c r="M284" s="337"/>
      <c r="N284" s="337"/>
      <c r="O284" s="337"/>
      <c r="P284" s="337"/>
      <c r="Q284" s="337"/>
      <c r="R284" s="337"/>
      <c r="S284" s="337"/>
      <c r="T284" s="337"/>
      <c r="U284" s="337"/>
      <c r="V284" s="337"/>
      <c r="W284" s="337"/>
      <c r="X284" s="337"/>
      <c r="Y284" s="337"/>
      <c r="Z284" s="337"/>
      <c r="AA284" s="337"/>
      <c r="AB284" s="337"/>
      <c r="AC284" s="337"/>
    </row>
    <row r="285" spans="2:30" s="188" customFormat="1" ht="20.25" customHeight="1" x14ac:dyDescent="0.2">
      <c r="B285" s="551" t="s">
        <v>145</v>
      </c>
      <c r="C285" s="552"/>
      <c r="D285" s="552"/>
      <c r="E285" s="553"/>
      <c r="F285" s="447" t="s">
        <v>225</v>
      </c>
      <c r="G285" s="448"/>
      <c r="H285" s="448"/>
      <c r="I285" s="448"/>
      <c r="J285" s="448"/>
      <c r="K285" s="448"/>
      <c r="L285" s="448"/>
      <c r="M285" s="448"/>
      <c r="N285" s="448"/>
      <c r="O285" s="448"/>
      <c r="P285" s="448"/>
      <c r="Q285" s="448"/>
      <c r="R285" s="448"/>
      <c r="S285" s="448"/>
      <c r="T285" s="448"/>
      <c r="U285" s="448"/>
      <c r="V285" s="448"/>
      <c r="W285" s="448"/>
      <c r="X285" s="448"/>
      <c r="Y285" s="448"/>
      <c r="Z285" s="448"/>
      <c r="AA285" s="448"/>
      <c r="AB285" s="448"/>
      <c r="AC285" s="449"/>
    </row>
    <row r="286" spans="2:30" s="188" customFormat="1" ht="21" customHeight="1" x14ac:dyDescent="0.2">
      <c r="B286" s="351" t="s">
        <v>131</v>
      </c>
      <c r="C286" s="352"/>
      <c r="D286" s="352"/>
      <c r="E286" s="352"/>
      <c r="F286" s="352"/>
      <c r="G286" s="352"/>
      <c r="H286" s="352"/>
      <c r="I286" s="352"/>
      <c r="J286" s="352"/>
      <c r="K286" s="352"/>
      <c r="L286" s="352"/>
      <c r="M286" s="352"/>
      <c r="N286" s="352"/>
      <c r="O286" s="352"/>
      <c r="P286" s="352"/>
      <c r="Q286" s="352"/>
      <c r="R286" s="352"/>
      <c r="S286" s="352"/>
      <c r="T286" s="352"/>
      <c r="U286" s="352"/>
      <c r="V286" s="352"/>
      <c r="W286" s="352"/>
      <c r="X286" s="352"/>
      <c r="Y286" s="352"/>
      <c r="Z286" s="352"/>
      <c r="AA286" s="352"/>
      <c r="AB286" s="352"/>
      <c r="AC286" s="225"/>
    </row>
    <row r="287" spans="2:30" s="188" customFormat="1" ht="30" customHeight="1" x14ac:dyDescent="0.2">
      <c r="B287" s="349" t="s">
        <v>102</v>
      </c>
      <c r="C287" s="349"/>
      <c r="D287" s="349"/>
      <c r="E287" s="349"/>
      <c r="F287" s="548" t="s">
        <v>132</v>
      </c>
      <c r="G287" s="549"/>
      <c r="H287" s="549"/>
      <c r="I287" s="549"/>
      <c r="J287" s="549"/>
      <c r="K287" s="549"/>
      <c r="L287" s="549"/>
      <c r="M287" s="549"/>
      <c r="N287" s="549"/>
      <c r="O287" s="549"/>
      <c r="P287" s="549"/>
      <c r="Q287" s="549"/>
      <c r="R287" s="549"/>
      <c r="S287" s="549"/>
      <c r="T287" s="549"/>
      <c r="U287" s="549"/>
      <c r="V287" s="549"/>
      <c r="W287" s="549"/>
      <c r="X287" s="549"/>
      <c r="Y287" s="549"/>
      <c r="Z287" s="549"/>
      <c r="AA287" s="549"/>
      <c r="AB287" s="549"/>
      <c r="AC287" s="550"/>
    </row>
    <row r="288" spans="2:30" s="188" customFormat="1" ht="18" customHeight="1" x14ac:dyDescent="0.2">
      <c r="B288" s="349" t="s">
        <v>103</v>
      </c>
      <c r="C288" s="349"/>
      <c r="D288" s="349"/>
      <c r="E288" s="349"/>
      <c r="F288" s="353" t="s">
        <v>202</v>
      </c>
      <c r="G288" s="354"/>
      <c r="H288" s="354"/>
      <c r="I288" s="354"/>
      <c r="J288" s="354"/>
      <c r="K288" s="354"/>
      <c r="L288" s="354"/>
      <c r="M288" s="354"/>
      <c r="N288" s="354"/>
      <c r="O288" s="354"/>
      <c r="P288" s="354"/>
      <c r="Q288" s="354"/>
      <c r="R288" s="354"/>
      <c r="S288" s="354"/>
      <c r="T288" s="354"/>
      <c r="U288" s="354"/>
      <c r="V288" s="354"/>
      <c r="W288" s="354"/>
      <c r="X288" s="354"/>
      <c r="Y288" s="354"/>
      <c r="Z288" s="354"/>
      <c r="AA288" s="354"/>
      <c r="AB288" s="354"/>
      <c r="AC288" s="355"/>
    </row>
    <row r="289" spans="2:32" ht="21" customHeight="1" x14ac:dyDescent="0.2">
      <c r="B289" s="90"/>
      <c r="C289" s="345" t="s">
        <v>235</v>
      </c>
      <c r="D289" s="346"/>
      <c r="E289" s="346"/>
      <c r="F289" s="346"/>
      <c r="G289" s="346"/>
      <c r="H289" s="346"/>
      <c r="I289" s="346"/>
      <c r="J289" s="346"/>
      <c r="K289" s="346"/>
      <c r="L289" s="346"/>
      <c r="M289" s="346"/>
      <c r="N289" s="346"/>
      <c r="O289" s="346"/>
      <c r="P289" s="346"/>
      <c r="Q289" s="346"/>
      <c r="R289" s="346"/>
      <c r="S289" s="346"/>
      <c r="T289" s="346"/>
      <c r="U289" s="346"/>
      <c r="V289" s="346"/>
      <c r="W289" s="346"/>
      <c r="X289" s="346"/>
      <c r="Y289" s="346"/>
      <c r="Z289" s="346"/>
      <c r="AA289" s="346"/>
      <c r="AB289" s="346"/>
      <c r="AC289" s="347"/>
    </row>
    <row r="290" spans="2:32" ht="51" customHeight="1" x14ac:dyDescent="0.2">
      <c r="B290" s="191" t="s">
        <v>139</v>
      </c>
      <c r="C290" s="379" t="s">
        <v>94</v>
      </c>
      <c r="D290" s="380"/>
      <c r="E290" s="381"/>
      <c r="F290" s="192" t="s">
        <v>95</v>
      </c>
      <c r="G290" s="193" t="s">
        <v>4</v>
      </c>
      <c r="H290" s="194" t="s">
        <v>3</v>
      </c>
      <c r="I290" s="195" t="s">
        <v>96</v>
      </c>
      <c r="J290" s="195" t="s">
        <v>150</v>
      </c>
      <c r="K290" s="1" t="s">
        <v>5</v>
      </c>
      <c r="L290" s="1" t="s">
        <v>6</v>
      </c>
      <c r="M290" s="1" t="s">
        <v>7</v>
      </c>
      <c r="N290" s="1" t="s">
        <v>8</v>
      </c>
      <c r="O290" s="35" t="s">
        <v>157</v>
      </c>
      <c r="P290" s="2" t="s">
        <v>9</v>
      </c>
      <c r="Q290" s="2" t="s">
        <v>10</v>
      </c>
      <c r="R290" s="2" t="s">
        <v>11</v>
      </c>
      <c r="S290" s="2" t="s">
        <v>12</v>
      </c>
      <c r="T290" s="35" t="s">
        <v>158</v>
      </c>
      <c r="U290" s="2" t="s">
        <v>13</v>
      </c>
      <c r="V290" s="2" t="s">
        <v>14</v>
      </c>
      <c r="W290" s="2" t="s">
        <v>15</v>
      </c>
      <c r="X290" s="2" t="s">
        <v>16</v>
      </c>
      <c r="Y290" s="35" t="s">
        <v>159</v>
      </c>
      <c r="Z290" s="196" t="s">
        <v>97</v>
      </c>
      <c r="AA290" s="196" t="s">
        <v>98</v>
      </c>
      <c r="AB290" s="197" t="s">
        <v>236</v>
      </c>
      <c r="AC290" s="196" t="s">
        <v>99</v>
      </c>
    </row>
    <row r="291" spans="2:32" ht="28.5" customHeight="1" x14ac:dyDescent="0.2">
      <c r="B291" s="470" t="s">
        <v>17</v>
      </c>
      <c r="C291" s="470"/>
      <c r="D291" s="470"/>
      <c r="E291" s="470"/>
      <c r="F291" s="470"/>
      <c r="G291" s="470"/>
      <c r="H291" s="470"/>
      <c r="I291" s="56">
        <f>+I292+I296+I301+I302+I307+I309+I311+I312+I310+I314+I318+I320</f>
        <v>20863</v>
      </c>
      <c r="J291" s="56">
        <v>37355</v>
      </c>
      <c r="K291" s="56">
        <f>+K292+K296+K301+K302+K307+K309+K310+K311+K312+K314+K318+K320</f>
        <v>100</v>
      </c>
      <c r="L291" s="56">
        <f>+L292+L296+L301+L302+L307+L309+L310+L311+L312+L314+L318+L320</f>
        <v>1598</v>
      </c>
      <c r="M291" s="56">
        <f>+M292+M296+M301+M302+M307+M309+M310+M311+M312+M314+M318+M320</f>
        <v>3992</v>
      </c>
      <c r="N291" s="56">
        <f>+N292+N296+N301+N302+N307+N309+N310+N311+N312+N314+N318+N320</f>
        <v>4554</v>
      </c>
      <c r="O291" s="56">
        <f>SUM(K291:N291)</f>
        <v>10244</v>
      </c>
      <c r="P291" s="56">
        <f>+P292+P296+P301+P302+P307+P309+P311+P312+P310+P314+P318+P320</f>
        <v>4150</v>
      </c>
      <c r="Q291" s="56">
        <f>+Q292+Q296+Q301+Q302+Q307+Q309+Q311+Q312+Q310+Q314+Q318+Q320</f>
        <v>4748</v>
      </c>
      <c r="R291" s="56">
        <f>+R292+R296+R301+R302+R307+R309+R311+R312+R310+R314+R318+R320</f>
        <v>4888</v>
      </c>
      <c r="S291" s="56">
        <f>+S292+S296+S301+S302+S307+S309+S311+S312+S310+S314+S318+S320</f>
        <v>8084</v>
      </c>
      <c r="T291" s="56">
        <f>+T292+T296+T301+T302+T307+T309+T311+T312+T310+T314+T318+T320</f>
        <v>21870</v>
      </c>
      <c r="U291" s="56">
        <f>+U292+U296+U301+U307+U314+U318</f>
        <v>0</v>
      </c>
      <c r="V291" s="56">
        <f>+V292+V296+V301+V307+V314+V318</f>
        <v>0</v>
      </c>
      <c r="W291" s="56">
        <f>+W292+W296+W301+W307+W314+W318</f>
        <v>0</v>
      </c>
      <c r="X291" s="56">
        <f>+X292+X296+X301+X302+X307+X314+X318</f>
        <v>2123</v>
      </c>
      <c r="Y291" s="56">
        <f>+Y292+Y307+Y314+Y318</f>
        <v>4065</v>
      </c>
      <c r="Z291" s="56">
        <f>+Z292+Z296+Z301+Z302+Z307+Z309+Z310+Z311+Z312+Z314+Z318+Z320</f>
        <v>32114</v>
      </c>
      <c r="AA291" s="106">
        <f>SUM(Z291/J291)</f>
        <v>0.85969749698835496</v>
      </c>
      <c r="AB291" s="119">
        <f>+AB292+AB307+AB314+AB318</f>
        <v>105450083</v>
      </c>
      <c r="AC291" s="106" t="s">
        <v>456</v>
      </c>
    </row>
    <row r="292" spans="2:32" ht="63" customHeight="1" x14ac:dyDescent="0.2">
      <c r="B292" s="31">
        <v>1</v>
      </c>
      <c r="C292" s="364" t="s">
        <v>177</v>
      </c>
      <c r="D292" s="365"/>
      <c r="E292" s="366"/>
      <c r="F292" s="162"/>
      <c r="G292" s="214"/>
      <c r="H292" s="162" t="s">
        <v>24</v>
      </c>
      <c r="I292" s="10">
        <v>1400</v>
      </c>
      <c r="J292" s="263">
        <v>784</v>
      </c>
      <c r="K292" s="161">
        <f>+K293</f>
        <v>98</v>
      </c>
      <c r="L292" s="5">
        <f>+L293</f>
        <v>97</v>
      </c>
      <c r="M292" s="5">
        <v>79</v>
      </c>
      <c r="N292" s="10">
        <v>73</v>
      </c>
      <c r="O292" s="161">
        <f>SUM(K292:N292)</f>
        <v>347</v>
      </c>
      <c r="P292" s="10">
        <v>46</v>
      </c>
      <c r="Q292" s="10">
        <v>68</v>
      </c>
      <c r="R292" s="10">
        <v>81</v>
      </c>
      <c r="S292" s="10">
        <v>142</v>
      </c>
      <c r="T292" s="10">
        <f>SUM(T293)</f>
        <v>337</v>
      </c>
      <c r="U292" s="10"/>
      <c r="V292" s="10"/>
      <c r="W292" s="10"/>
      <c r="X292" s="10"/>
      <c r="Y292" s="10">
        <f t="shared" ref="Y292:Y298" si="61">SUM(U292:X292)</f>
        <v>0</v>
      </c>
      <c r="Z292" s="161">
        <f>SUM(O292+T292+Y292)</f>
        <v>684</v>
      </c>
      <c r="AA292" s="42">
        <f>SUM(Z292/J292)</f>
        <v>0.87244897959183676</v>
      </c>
      <c r="AB292" s="3">
        <v>68068021</v>
      </c>
      <c r="AC292" s="270" t="s">
        <v>438</v>
      </c>
      <c r="AD292" s="63">
        <f>248+248+248+248</f>
        <v>992</v>
      </c>
      <c r="AE292" s="232"/>
      <c r="AF292" s="232"/>
    </row>
    <row r="293" spans="2:32" ht="75" customHeight="1" x14ac:dyDescent="0.2">
      <c r="B293" s="49"/>
      <c r="C293" s="343"/>
      <c r="D293" s="344"/>
      <c r="E293" s="344"/>
      <c r="F293" s="66" t="s">
        <v>310</v>
      </c>
      <c r="G293" s="51"/>
      <c r="H293" s="19" t="s">
        <v>23</v>
      </c>
      <c r="I293" s="10">
        <v>1400</v>
      </c>
      <c r="J293" s="263">
        <v>784</v>
      </c>
      <c r="K293" s="161">
        <v>98</v>
      </c>
      <c r="L293" s="5">
        <v>97</v>
      </c>
      <c r="M293" s="5">
        <v>79</v>
      </c>
      <c r="N293" s="69">
        <v>73</v>
      </c>
      <c r="O293" s="10">
        <f>SUM(K293:N293)</f>
        <v>347</v>
      </c>
      <c r="P293" s="5">
        <v>46</v>
      </c>
      <c r="Q293" s="5">
        <v>68</v>
      </c>
      <c r="R293" s="5">
        <v>81</v>
      </c>
      <c r="S293" s="5">
        <v>142</v>
      </c>
      <c r="T293" s="7">
        <f t="shared" ref="T293:T301" si="62">SUM(P293+Q293+R293+S293)</f>
        <v>337</v>
      </c>
      <c r="U293" s="5"/>
      <c r="V293" s="5"/>
      <c r="W293" s="5"/>
      <c r="X293" s="5"/>
      <c r="Y293" s="7">
        <f t="shared" si="61"/>
        <v>0</v>
      </c>
      <c r="Z293" s="10">
        <f>SUM(O293+T293+Y293)</f>
        <v>684</v>
      </c>
      <c r="AA293" s="42">
        <f>SUM(Z293/J293)</f>
        <v>0.87244897959183676</v>
      </c>
      <c r="AB293" s="321" t="s">
        <v>457</v>
      </c>
      <c r="AC293" s="322"/>
      <c r="AF293" s="232"/>
    </row>
    <row r="294" spans="2:32" ht="15.75" customHeight="1" x14ac:dyDescent="0.2">
      <c r="B294" s="49"/>
      <c r="C294" s="97"/>
      <c r="D294" s="165"/>
      <c r="E294" s="166"/>
      <c r="F294" s="51" t="s">
        <v>356</v>
      </c>
      <c r="G294" s="75"/>
      <c r="H294" s="19"/>
      <c r="I294" s="10"/>
      <c r="J294" s="10"/>
      <c r="K294" s="161">
        <v>44</v>
      </c>
      <c r="L294" s="5">
        <v>38</v>
      </c>
      <c r="M294" s="5">
        <v>22</v>
      </c>
      <c r="N294" s="5">
        <v>26</v>
      </c>
      <c r="O294" s="10">
        <f>+K294+L294+M294+N294</f>
        <v>130</v>
      </c>
      <c r="P294" s="5">
        <v>24</v>
      </c>
      <c r="Q294" s="5">
        <v>34</v>
      </c>
      <c r="R294" s="5">
        <v>38</v>
      </c>
      <c r="S294" s="5">
        <v>78</v>
      </c>
      <c r="T294" s="7">
        <f t="shared" si="62"/>
        <v>174</v>
      </c>
      <c r="U294" s="5"/>
      <c r="V294" s="5"/>
      <c r="W294" s="5"/>
      <c r="X294" s="5"/>
      <c r="Y294" s="7">
        <f t="shared" si="61"/>
        <v>0</v>
      </c>
      <c r="Z294" s="10">
        <f>+O294+T294+Y294</f>
        <v>304</v>
      </c>
      <c r="AA294" s="42"/>
      <c r="AB294" s="356"/>
      <c r="AC294" s="357"/>
    </row>
    <row r="295" spans="2:32" ht="15.75" customHeight="1" x14ac:dyDescent="0.2">
      <c r="B295" s="49"/>
      <c r="C295" s="97"/>
      <c r="D295" s="165"/>
      <c r="E295" s="166"/>
      <c r="F295" s="51" t="s">
        <v>357</v>
      </c>
      <c r="G295" s="75"/>
      <c r="H295" s="19"/>
      <c r="I295" s="10"/>
      <c r="J295" s="10"/>
      <c r="K295" s="161">
        <v>54</v>
      </c>
      <c r="L295" s="5">
        <v>59</v>
      </c>
      <c r="M295" s="5">
        <v>57</v>
      </c>
      <c r="N295" s="5">
        <v>47</v>
      </c>
      <c r="O295" s="10">
        <f>+K295+L295+M295+N295</f>
        <v>217</v>
      </c>
      <c r="P295" s="5">
        <v>22</v>
      </c>
      <c r="Q295" s="5">
        <v>34</v>
      </c>
      <c r="R295" s="5">
        <v>43</v>
      </c>
      <c r="S295" s="5">
        <v>64</v>
      </c>
      <c r="T295" s="7">
        <f t="shared" si="62"/>
        <v>163</v>
      </c>
      <c r="U295" s="5"/>
      <c r="V295" s="5"/>
      <c r="W295" s="5"/>
      <c r="X295" s="5"/>
      <c r="Y295" s="7">
        <f t="shared" si="61"/>
        <v>0</v>
      </c>
      <c r="Z295" s="10">
        <f>+O295+T295+Y295</f>
        <v>380</v>
      </c>
      <c r="AA295" s="42"/>
      <c r="AB295" s="358"/>
      <c r="AC295" s="359"/>
    </row>
    <row r="296" spans="2:32" ht="84" customHeight="1" x14ac:dyDescent="0.2">
      <c r="B296" s="49"/>
      <c r="C296" s="343"/>
      <c r="D296" s="344"/>
      <c r="E296" s="344"/>
      <c r="F296" s="66" t="s">
        <v>230</v>
      </c>
      <c r="G296" s="51"/>
      <c r="H296" s="19" t="s">
        <v>51</v>
      </c>
      <c r="I296" s="10">
        <v>10</v>
      </c>
      <c r="J296" s="263">
        <v>6</v>
      </c>
      <c r="K296" s="161">
        <v>2</v>
      </c>
      <c r="L296" s="138" t="s">
        <v>211</v>
      </c>
      <c r="M296" s="138" t="s">
        <v>211</v>
      </c>
      <c r="N296" s="138" t="s">
        <v>211</v>
      </c>
      <c r="O296" s="138" t="s">
        <v>351</v>
      </c>
      <c r="P296" s="138" t="s">
        <v>211</v>
      </c>
      <c r="Q296" s="5">
        <v>2</v>
      </c>
      <c r="R296" s="5">
        <v>1</v>
      </c>
      <c r="S296" s="5">
        <v>1</v>
      </c>
      <c r="T296" s="7">
        <f t="shared" si="62"/>
        <v>4</v>
      </c>
      <c r="U296" s="5"/>
      <c r="V296" s="138"/>
      <c r="W296" s="138"/>
      <c r="X296" s="5"/>
      <c r="Y296" s="7">
        <f t="shared" si="61"/>
        <v>0</v>
      </c>
      <c r="Z296" s="10">
        <f>SUM(O296+T296+Y296)</f>
        <v>6</v>
      </c>
      <c r="AA296" s="305">
        <f t="shared" ref="AA296:AA301" si="63">SUM(Z296/J296)</f>
        <v>1</v>
      </c>
      <c r="AB296" s="51"/>
      <c r="AC296" s="66"/>
    </row>
    <row r="297" spans="2:32" ht="75" customHeight="1" x14ac:dyDescent="0.2">
      <c r="B297" s="49"/>
      <c r="C297" s="344"/>
      <c r="D297" s="344"/>
      <c r="E297" s="344"/>
      <c r="F297" s="157"/>
      <c r="G297" s="16" t="s">
        <v>76</v>
      </c>
      <c r="H297" s="19" t="s">
        <v>19</v>
      </c>
      <c r="I297" s="59">
        <v>12</v>
      </c>
      <c r="J297" s="280">
        <v>6</v>
      </c>
      <c r="K297" s="8">
        <v>2</v>
      </c>
      <c r="L297" s="8">
        <v>1</v>
      </c>
      <c r="M297" s="8">
        <v>1</v>
      </c>
      <c r="N297" s="113" t="s">
        <v>211</v>
      </c>
      <c r="O297" s="67">
        <v>4</v>
      </c>
      <c r="P297" s="8">
        <v>1</v>
      </c>
      <c r="Q297" s="113" t="s">
        <v>211</v>
      </c>
      <c r="R297" s="113" t="s">
        <v>211</v>
      </c>
      <c r="S297" s="8">
        <v>2</v>
      </c>
      <c r="T297" s="6">
        <f t="shared" si="62"/>
        <v>3</v>
      </c>
      <c r="U297" s="8"/>
      <c r="V297" s="8"/>
      <c r="W297" s="139"/>
      <c r="X297" s="8"/>
      <c r="Y297" s="6">
        <f t="shared" si="61"/>
        <v>0</v>
      </c>
      <c r="Z297" s="67">
        <v>6</v>
      </c>
      <c r="AA297" s="296">
        <f t="shared" si="63"/>
        <v>1</v>
      </c>
      <c r="AB297" s="55"/>
      <c r="AC297" s="51"/>
    </row>
    <row r="298" spans="2:32" ht="81.75" customHeight="1" x14ac:dyDescent="0.2">
      <c r="B298" s="49"/>
      <c r="C298" s="344"/>
      <c r="D298" s="344"/>
      <c r="E298" s="344"/>
      <c r="F298" s="157"/>
      <c r="G298" s="16" t="s">
        <v>306</v>
      </c>
      <c r="H298" s="19" t="s">
        <v>19</v>
      </c>
      <c r="I298" s="59">
        <v>25</v>
      </c>
      <c r="J298" s="280">
        <v>18</v>
      </c>
      <c r="K298" s="8">
        <v>2</v>
      </c>
      <c r="L298" s="8">
        <v>1</v>
      </c>
      <c r="M298" s="113" t="s">
        <v>211</v>
      </c>
      <c r="N298" s="8">
        <v>1</v>
      </c>
      <c r="O298" s="67">
        <f>SUM(K298:N298)</f>
        <v>4</v>
      </c>
      <c r="P298" s="8">
        <v>2</v>
      </c>
      <c r="Q298" s="8">
        <v>2</v>
      </c>
      <c r="R298" s="8">
        <v>4</v>
      </c>
      <c r="S298" s="8">
        <v>1</v>
      </c>
      <c r="T298" s="6">
        <f t="shared" si="62"/>
        <v>9</v>
      </c>
      <c r="U298" s="8"/>
      <c r="V298" s="8"/>
      <c r="W298" s="8"/>
      <c r="X298" s="8"/>
      <c r="Y298" s="6">
        <f t="shared" si="61"/>
        <v>0</v>
      </c>
      <c r="Z298" s="67">
        <f>SUM(O298+T298+Y298)</f>
        <v>13</v>
      </c>
      <c r="AA298" s="70">
        <f t="shared" si="63"/>
        <v>0.72222222222222221</v>
      </c>
      <c r="AB298" s="55"/>
      <c r="AC298" s="51"/>
      <c r="AD298" s="63">
        <v>8</v>
      </c>
    </row>
    <row r="299" spans="2:32" ht="102" x14ac:dyDescent="0.2">
      <c r="B299" s="49"/>
      <c r="C299" s="344"/>
      <c r="D299" s="344"/>
      <c r="E299" s="344"/>
      <c r="F299" s="157"/>
      <c r="G299" s="16" t="s">
        <v>307</v>
      </c>
      <c r="H299" s="19" t="s">
        <v>19</v>
      </c>
      <c r="I299" s="59">
        <v>52</v>
      </c>
      <c r="J299" s="280">
        <v>44</v>
      </c>
      <c r="K299" s="113" t="s">
        <v>211</v>
      </c>
      <c r="L299" s="8">
        <v>4</v>
      </c>
      <c r="M299" s="8">
        <v>19</v>
      </c>
      <c r="N299" s="8">
        <v>3</v>
      </c>
      <c r="O299" s="113">
        <f>SUM(K299:N299)</f>
        <v>26</v>
      </c>
      <c r="P299" s="113">
        <v>7</v>
      </c>
      <c r="Q299" s="8">
        <v>5</v>
      </c>
      <c r="R299" s="8">
        <v>7</v>
      </c>
      <c r="S299" s="8">
        <v>1</v>
      </c>
      <c r="T299" s="113">
        <f t="shared" si="62"/>
        <v>20</v>
      </c>
      <c r="U299" s="113" t="s">
        <v>211</v>
      </c>
      <c r="V299" s="113" t="s">
        <v>211</v>
      </c>
      <c r="W299" s="113" t="s">
        <v>211</v>
      </c>
      <c r="X299" s="113" t="s">
        <v>211</v>
      </c>
      <c r="Y299" s="113" t="s">
        <v>211</v>
      </c>
      <c r="Z299" s="113" t="s">
        <v>416</v>
      </c>
      <c r="AA299" s="296">
        <f t="shared" si="63"/>
        <v>1</v>
      </c>
      <c r="AB299" s="12"/>
      <c r="AC299" s="51"/>
    </row>
    <row r="300" spans="2:32" ht="82.5" customHeight="1" x14ac:dyDescent="0.2">
      <c r="B300" s="49"/>
      <c r="C300" s="164"/>
      <c r="D300" s="165"/>
      <c r="E300" s="166"/>
      <c r="F300" s="157"/>
      <c r="G300" s="16" t="s">
        <v>362</v>
      </c>
      <c r="H300" s="19" t="s">
        <v>19</v>
      </c>
      <c r="I300" s="59">
        <v>6</v>
      </c>
      <c r="J300" s="59">
        <v>3</v>
      </c>
      <c r="K300" s="113" t="s">
        <v>211</v>
      </c>
      <c r="L300" s="113" t="s">
        <v>211</v>
      </c>
      <c r="M300" s="8">
        <v>1</v>
      </c>
      <c r="N300" s="8">
        <v>1</v>
      </c>
      <c r="O300" s="113" t="s">
        <v>351</v>
      </c>
      <c r="P300" s="113" t="s">
        <v>211</v>
      </c>
      <c r="Q300" s="113" t="s">
        <v>211</v>
      </c>
      <c r="R300" s="113" t="s">
        <v>211</v>
      </c>
      <c r="S300" s="8">
        <v>4</v>
      </c>
      <c r="T300" s="113" t="s">
        <v>211</v>
      </c>
      <c r="U300" s="113" t="s">
        <v>211</v>
      </c>
      <c r="V300" s="113" t="s">
        <v>211</v>
      </c>
      <c r="W300" s="113" t="s">
        <v>211</v>
      </c>
      <c r="X300" s="113" t="s">
        <v>211</v>
      </c>
      <c r="Y300" s="113" t="s">
        <v>211</v>
      </c>
      <c r="Z300" s="113">
        <f t="shared" ref="Z300:Z301" si="64">SUM(O300+T300+Y300)</f>
        <v>2</v>
      </c>
      <c r="AA300" s="70">
        <f t="shared" si="63"/>
        <v>0.66666666666666663</v>
      </c>
      <c r="AB300" s="12"/>
      <c r="AC300" s="104"/>
    </row>
    <row r="301" spans="2:32" ht="71.25" customHeight="1" x14ac:dyDescent="0.2">
      <c r="B301" s="49"/>
      <c r="C301" s="332"/>
      <c r="D301" s="333"/>
      <c r="E301" s="334"/>
      <c r="F301" s="66" t="s">
        <v>308</v>
      </c>
      <c r="G301" s="51"/>
      <c r="H301" s="19" t="s">
        <v>51</v>
      </c>
      <c r="I301" s="95">
        <v>52</v>
      </c>
      <c r="J301" s="281">
        <v>11</v>
      </c>
      <c r="K301" s="138" t="s">
        <v>211</v>
      </c>
      <c r="L301" s="138" t="s">
        <v>211</v>
      </c>
      <c r="M301" s="5">
        <v>3</v>
      </c>
      <c r="N301" s="138" t="s">
        <v>211</v>
      </c>
      <c r="O301" s="114" t="s">
        <v>355</v>
      </c>
      <c r="P301" s="114" t="s">
        <v>211</v>
      </c>
      <c r="Q301" s="114" t="s">
        <v>211</v>
      </c>
      <c r="R301" s="5">
        <v>5</v>
      </c>
      <c r="S301" s="114" t="s">
        <v>351</v>
      </c>
      <c r="T301" s="114">
        <f t="shared" si="62"/>
        <v>7</v>
      </c>
      <c r="U301" s="114" t="s">
        <v>211</v>
      </c>
      <c r="V301" s="114" t="s">
        <v>211</v>
      </c>
      <c r="W301" s="114" t="s">
        <v>211</v>
      </c>
      <c r="X301" s="114" t="s">
        <v>211</v>
      </c>
      <c r="Y301" s="114" t="s">
        <v>211</v>
      </c>
      <c r="Z301" s="114">
        <f t="shared" si="64"/>
        <v>10</v>
      </c>
      <c r="AA301" s="70">
        <f t="shared" si="63"/>
        <v>0.90909090909090906</v>
      </c>
      <c r="AB301" s="243"/>
      <c r="AC301" s="243"/>
    </row>
    <row r="302" spans="2:32" ht="63.75" x14ac:dyDescent="0.2">
      <c r="B302" s="49"/>
      <c r="C302" s="344"/>
      <c r="D302" s="344"/>
      <c r="E302" s="344"/>
      <c r="F302" s="66" t="s">
        <v>309</v>
      </c>
      <c r="G302" s="51"/>
      <c r="H302" s="19" t="s">
        <v>25</v>
      </c>
      <c r="I302" s="95">
        <v>85</v>
      </c>
      <c r="J302" s="250">
        <v>1</v>
      </c>
      <c r="K302" s="125" t="s">
        <v>211</v>
      </c>
      <c r="L302" s="125" t="s">
        <v>211</v>
      </c>
      <c r="M302" s="125" t="s">
        <v>211</v>
      </c>
      <c r="N302" s="125" t="s">
        <v>211</v>
      </c>
      <c r="O302" s="114" t="s">
        <v>211</v>
      </c>
      <c r="P302" s="114" t="s">
        <v>211</v>
      </c>
      <c r="Q302" s="114" t="s">
        <v>211</v>
      </c>
      <c r="R302" s="114" t="s">
        <v>211</v>
      </c>
      <c r="S302" s="114" t="s">
        <v>211</v>
      </c>
      <c r="T302" s="114" t="s">
        <v>211</v>
      </c>
      <c r="U302" s="114" t="s">
        <v>211</v>
      </c>
      <c r="V302" s="114" t="s">
        <v>211</v>
      </c>
      <c r="W302" s="114" t="s">
        <v>211</v>
      </c>
      <c r="X302" s="114" t="s">
        <v>211</v>
      </c>
      <c r="Y302" s="114" t="s">
        <v>211</v>
      </c>
      <c r="Z302" s="114" t="s">
        <v>211</v>
      </c>
      <c r="AA302" s="114" t="s">
        <v>211</v>
      </c>
      <c r="AB302" s="12"/>
      <c r="AC302" s="57"/>
    </row>
    <row r="303" spans="2:32" ht="99" customHeight="1" x14ac:dyDescent="0.2">
      <c r="B303" s="49"/>
      <c r="C303" s="332"/>
      <c r="D303" s="333"/>
      <c r="E303" s="334"/>
      <c r="F303" s="66" t="s">
        <v>406</v>
      </c>
      <c r="G303" s="51"/>
      <c r="H303" s="19" t="s">
        <v>25</v>
      </c>
      <c r="I303" s="114" t="s">
        <v>211</v>
      </c>
      <c r="J303" s="250">
        <v>1</v>
      </c>
      <c r="K303" s="125"/>
      <c r="L303" s="125"/>
      <c r="M303" s="125"/>
      <c r="N303" s="125"/>
      <c r="O303" s="114" t="s">
        <v>211</v>
      </c>
      <c r="P303" s="114" t="s">
        <v>211</v>
      </c>
      <c r="Q303" s="114" t="s">
        <v>211</v>
      </c>
      <c r="R303" s="138" t="s">
        <v>211</v>
      </c>
      <c r="S303" s="114" t="s">
        <v>211</v>
      </c>
      <c r="T303" s="114" t="s">
        <v>211</v>
      </c>
      <c r="U303" s="114" t="s">
        <v>211</v>
      </c>
      <c r="V303" s="114" t="s">
        <v>211</v>
      </c>
      <c r="W303" s="114" t="s">
        <v>211</v>
      </c>
      <c r="X303" s="114" t="s">
        <v>211</v>
      </c>
      <c r="Y303" s="114" t="s">
        <v>211</v>
      </c>
      <c r="Z303" s="114" t="s">
        <v>211</v>
      </c>
      <c r="AA303" s="114" t="s">
        <v>211</v>
      </c>
      <c r="AB303" s="321" t="s">
        <v>458</v>
      </c>
      <c r="AC303" s="322"/>
    </row>
    <row r="304" spans="2:32" s="188" customFormat="1" ht="21" customHeight="1" x14ac:dyDescent="0.2">
      <c r="B304" s="351" t="s">
        <v>133</v>
      </c>
      <c r="C304" s="352"/>
      <c r="D304" s="352"/>
      <c r="E304" s="352"/>
      <c r="F304" s="352"/>
      <c r="G304" s="352"/>
      <c r="H304" s="352"/>
      <c r="I304" s="352"/>
      <c r="J304" s="352"/>
      <c r="K304" s="352"/>
      <c r="L304" s="352"/>
      <c r="M304" s="352"/>
      <c r="N304" s="352"/>
      <c r="O304" s="352"/>
      <c r="P304" s="352"/>
      <c r="Q304" s="352"/>
      <c r="R304" s="352"/>
      <c r="S304" s="352"/>
      <c r="T304" s="352"/>
      <c r="U304" s="352"/>
      <c r="V304" s="352"/>
      <c r="W304" s="352"/>
      <c r="X304" s="352"/>
      <c r="Y304" s="352"/>
      <c r="Z304" s="352"/>
      <c r="AA304" s="352"/>
      <c r="AB304" s="352"/>
      <c r="AC304" s="225"/>
    </row>
    <row r="305" spans="2:30" s="188" customFormat="1" ht="31.5" customHeight="1" x14ac:dyDescent="0.2">
      <c r="B305" s="349" t="s">
        <v>102</v>
      </c>
      <c r="C305" s="349"/>
      <c r="D305" s="349"/>
      <c r="E305" s="349"/>
      <c r="F305" s="350" t="s">
        <v>182</v>
      </c>
      <c r="G305" s="350"/>
      <c r="H305" s="350"/>
      <c r="I305" s="350"/>
      <c r="J305" s="350"/>
      <c r="K305" s="350"/>
      <c r="L305" s="350"/>
      <c r="M305" s="350"/>
      <c r="N305" s="350"/>
      <c r="O305" s="350"/>
      <c r="P305" s="350"/>
      <c r="Q305" s="350"/>
      <c r="R305" s="350"/>
      <c r="S305" s="350"/>
      <c r="T305" s="350"/>
      <c r="U305" s="350"/>
      <c r="V305" s="350"/>
      <c r="W305" s="350"/>
      <c r="X305" s="350"/>
      <c r="Y305" s="350"/>
      <c r="Z305" s="350"/>
      <c r="AA305" s="350"/>
      <c r="AB305" s="350"/>
      <c r="AC305" s="350"/>
    </row>
    <row r="306" spans="2:30" s="188" customFormat="1" ht="23.25" customHeight="1" x14ac:dyDescent="0.2">
      <c r="B306" s="368" t="s">
        <v>103</v>
      </c>
      <c r="C306" s="368"/>
      <c r="D306" s="368"/>
      <c r="E306" s="368"/>
      <c r="F306" s="446" t="s">
        <v>203</v>
      </c>
      <c r="G306" s="446"/>
      <c r="H306" s="446"/>
      <c r="I306" s="446"/>
      <c r="J306" s="446"/>
      <c r="K306" s="446"/>
      <c r="L306" s="446"/>
      <c r="M306" s="446"/>
      <c r="N306" s="446"/>
      <c r="O306" s="446"/>
      <c r="P306" s="446"/>
      <c r="Q306" s="446"/>
      <c r="R306" s="446"/>
      <c r="S306" s="446"/>
      <c r="T306" s="446"/>
      <c r="U306" s="446"/>
      <c r="V306" s="446"/>
      <c r="W306" s="446"/>
      <c r="X306" s="446"/>
      <c r="Y306" s="446"/>
      <c r="Z306" s="446"/>
      <c r="AA306" s="446"/>
      <c r="AB306" s="446"/>
      <c r="AC306" s="446"/>
    </row>
    <row r="307" spans="2:30" ht="87" customHeight="1" x14ac:dyDescent="0.2">
      <c r="B307" s="31">
        <v>4</v>
      </c>
      <c r="C307" s="348" t="s">
        <v>311</v>
      </c>
      <c r="D307" s="348"/>
      <c r="E307" s="348"/>
      <c r="F307" s="8"/>
      <c r="G307" s="16"/>
      <c r="H307" s="162" t="s">
        <v>24</v>
      </c>
      <c r="I307" s="161">
        <v>15000</v>
      </c>
      <c r="J307" s="274">
        <v>28585</v>
      </c>
      <c r="K307" s="138" t="s">
        <v>211</v>
      </c>
      <c r="L307" s="186">
        <f>+L308</f>
        <v>1175</v>
      </c>
      <c r="M307" s="260">
        <v>3389</v>
      </c>
      <c r="N307" s="286">
        <f>+N308</f>
        <v>3484</v>
      </c>
      <c r="O307" s="252">
        <f>SUM(K307:N307)</f>
        <v>8048</v>
      </c>
      <c r="P307" s="252">
        <v>3304</v>
      </c>
      <c r="Q307" s="297">
        <v>4125</v>
      </c>
      <c r="R307" s="300">
        <v>3430</v>
      </c>
      <c r="S307" s="252">
        <v>6360</v>
      </c>
      <c r="T307" s="252">
        <f t="shared" ref="T307:T314" si="65">SUM(P307+Q307+R307+S307)</f>
        <v>17219</v>
      </c>
      <c r="U307" s="252"/>
      <c r="V307" s="252"/>
      <c r="W307" s="252"/>
      <c r="X307" s="252"/>
      <c r="Y307" s="252">
        <f t="shared" ref="Y307:Y312" si="66">SUM(U307:X307)</f>
        <v>0</v>
      </c>
      <c r="Z307" s="252">
        <f t="shared" ref="Z307:Z312" si="67">SUM(O307+T307+Y307)</f>
        <v>25267</v>
      </c>
      <c r="AA307" s="251">
        <f t="shared" ref="AA307:AA312" si="68">SUM(Z307/J307)</f>
        <v>0.8839251355606087</v>
      </c>
      <c r="AB307" s="3">
        <v>33958541</v>
      </c>
      <c r="AC307" s="270" t="s">
        <v>467</v>
      </c>
    </row>
    <row r="308" spans="2:30" ht="56.25" customHeight="1" x14ac:dyDescent="0.2">
      <c r="B308" s="49"/>
      <c r="C308" s="344"/>
      <c r="D308" s="344"/>
      <c r="E308" s="344"/>
      <c r="F308" s="66" t="s">
        <v>312</v>
      </c>
      <c r="G308" s="51"/>
      <c r="H308" s="19" t="s">
        <v>23</v>
      </c>
      <c r="I308" s="10">
        <v>15000</v>
      </c>
      <c r="J308" s="274">
        <v>28585</v>
      </c>
      <c r="K308" s="138" t="s">
        <v>211</v>
      </c>
      <c r="L308" s="98">
        <v>1175</v>
      </c>
      <c r="M308" s="98">
        <v>3389</v>
      </c>
      <c r="N308" s="98">
        <v>3484</v>
      </c>
      <c r="O308" s="252">
        <f>SUM(K308:N308)</f>
        <v>8048</v>
      </c>
      <c r="P308" s="252">
        <v>3304</v>
      </c>
      <c r="Q308" s="297">
        <v>4125</v>
      </c>
      <c r="R308" s="300">
        <v>3430</v>
      </c>
      <c r="S308" s="252">
        <v>6360</v>
      </c>
      <c r="T308" s="252">
        <f t="shared" si="65"/>
        <v>17219</v>
      </c>
      <c r="U308" s="252"/>
      <c r="V308" s="252"/>
      <c r="W308" s="252"/>
      <c r="X308" s="252"/>
      <c r="Y308" s="252">
        <f t="shared" si="66"/>
        <v>0</v>
      </c>
      <c r="Z308" s="252">
        <f t="shared" si="67"/>
        <v>25267</v>
      </c>
      <c r="AA308" s="251">
        <f t="shared" si="68"/>
        <v>0.8839251355606087</v>
      </c>
      <c r="AB308" s="243"/>
      <c r="AC308" s="243"/>
    </row>
    <row r="309" spans="2:30" ht="84.75" customHeight="1" x14ac:dyDescent="0.2">
      <c r="B309" s="49"/>
      <c r="C309" s="332"/>
      <c r="D309" s="333"/>
      <c r="E309" s="334"/>
      <c r="F309" s="66" t="s">
        <v>316</v>
      </c>
      <c r="G309" s="51"/>
      <c r="H309" s="19" t="s">
        <v>51</v>
      </c>
      <c r="I309" s="67">
        <v>15</v>
      </c>
      <c r="J309" s="263">
        <v>33</v>
      </c>
      <c r="K309" s="125" t="s">
        <v>211</v>
      </c>
      <c r="L309" s="125" t="s">
        <v>211</v>
      </c>
      <c r="M309" s="125" t="s">
        <v>211</v>
      </c>
      <c r="N309" s="125" t="s">
        <v>211</v>
      </c>
      <c r="O309" s="125" t="s">
        <v>211</v>
      </c>
      <c r="P309" s="125" t="s">
        <v>211</v>
      </c>
      <c r="Q309" s="307">
        <v>32</v>
      </c>
      <c r="R309" s="125" t="s">
        <v>211</v>
      </c>
      <c r="S309" s="315">
        <v>1</v>
      </c>
      <c r="T309" s="125">
        <f t="shared" si="65"/>
        <v>33</v>
      </c>
      <c r="U309" s="125"/>
      <c r="V309" s="125"/>
      <c r="W309" s="125"/>
      <c r="X309" s="125"/>
      <c r="Y309" s="125">
        <f t="shared" si="66"/>
        <v>0</v>
      </c>
      <c r="Z309" s="125">
        <f t="shared" si="67"/>
        <v>33</v>
      </c>
      <c r="AA309" s="319">
        <f t="shared" si="68"/>
        <v>1</v>
      </c>
      <c r="AB309" s="12"/>
      <c r="AC309" s="12"/>
    </row>
    <row r="310" spans="2:30" ht="78.75" customHeight="1" x14ac:dyDescent="0.2">
      <c r="B310" s="49"/>
      <c r="C310" s="332"/>
      <c r="D310" s="333"/>
      <c r="E310" s="334"/>
      <c r="F310" s="66" t="s">
        <v>315</v>
      </c>
      <c r="G310" s="51"/>
      <c r="H310" s="19" t="s">
        <v>51</v>
      </c>
      <c r="I310" s="67">
        <v>250</v>
      </c>
      <c r="J310" s="276">
        <v>402</v>
      </c>
      <c r="K310" s="125" t="s">
        <v>211</v>
      </c>
      <c r="L310" s="98">
        <v>25</v>
      </c>
      <c r="M310" s="98">
        <v>377</v>
      </c>
      <c r="N310" s="138" t="s">
        <v>211</v>
      </c>
      <c r="O310" s="125">
        <f>SUM(K310:N310)</f>
        <v>402</v>
      </c>
      <c r="P310" s="125" t="s">
        <v>211</v>
      </c>
      <c r="Q310" s="138" t="s">
        <v>211</v>
      </c>
      <c r="R310" s="138" t="s">
        <v>211</v>
      </c>
      <c r="S310" s="138" t="s">
        <v>211</v>
      </c>
      <c r="T310" s="125">
        <f t="shared" si="65"/>
        <v>0</v>
      </c>
      <c r="U310" s="125"/>
      <c r="V310" s="125"/>
      <c r="W310" s="125"/>
      <c r="X310" s="125"/>
      <c r="Y310" s="125">
        <f t="shared" si="66"/>
        <v>0</v>
      </c>
      <c r="Z310" s="125">
        <f t="shared" si="67"/>
        <v>402</v>
      </c>
      <c r="AA310" s="282">
        <f t="shared" si="68"/>
        <v>1</v>
      </c>
      <c r="AB310" s="335" t="s">
        <v>405</v>
      </c>
      <c r="AC310" s="336"/>
    </row>
    <row r="311" spans="2:30" ht="76.5" x14ac:dyDescent="0.2">
      <c r="B311" s="49"/>
      <c r="C311" s="164"/>
      <c r="D311" s="165"/>
      <c r="E311" s="166"/>
      <c r="F311" s="66" t="s">
        <v>313</v>
      </c>
      <c r="G311" s="51"/>
      <c r="H311" s="19" t="s">
        <v>51</v>
      </c>
      <c r="I311" s="67">
        <v>200</v>
      </c>
      <c r="J311" s="247">
        <v>256</v>
      </c>
      <c r="K311" s="138" t="s">
        <v>211</v>
      </c>
      <c r="L311" s="138" t="s">
        <v>211</v>
      </c>
      <c r="M311" s="98">
        <v>37</v>
      </c>
      <c r="N311" s="138" t="s">
        <v>211</v>
      </c>
      <c r="O311" s="138" t="s">
        <v>375</v>
      </c>
      <c r="P311" s="138">
        <v>94</v>
      </c>
      <c r="Q311" s="5">
        <v>48</v>
      </c>
      <c r="R311" s="5">
        <v>62</v>
      </c>
      <c r="S311" s="5">
        <v>15</v>
      </c>
      <c r="T311" s="138">
        <f t="shared" si="65"/>
        <v>219</v>
      </c>
      <c r="U311" s="138"/>
      <c r="V311" s="138"/>
      <c r="W311" s="138"/>
      <c r="X311" s="138"/>
      <c r="Y311" s="138">
        <f t="shared" si="66"/>
        <v>0</v>
      </c>
      <c r="Z311" s="125">
        <f t="shared" si="67"/>
        <v>256</v>
      </c>
      <c r="AA311" s="319">
        <f t="shared" si="68"/>
        <v>1</v>
      </c>
      <c r="AB311" s="12"/>
      <c r="AC311" s="12"/>
    </row>
    <row r="312" spans="2:30" ht="63.75" x14ac:dyDescent="0.2">
      <c r="B312" s="208"/>
      <c r="C312" s="332"/>
      <c r="D312" s="333"/>
      <c r="E312" s="334"/>
      <c r="F312" s="66" t="s">
        <v>314</v>
      </c>
      <c r="G312" s="51"/>
      <c r="H312" s="19" t="s">
        <v>51</v>
      </c>
      <c r="I312" s="67">
        <v>100</v>
      </c>
      <c r="J312" s="247">
        <v>172</v>
      </c>
      <c r="K312" s="125" t="s">
        <v>211</v>
      </c>
      <c r="L312" s="10">
        <v>38</v>
      </c>
      <c r="M312" s="98">
        <v>27</v>
      </c>
      <c r="N312" s="98">
        <v>34</v>
      </c>
      <c r="O312" s="125" t="s">
        <v>384</v>
      </c>
      <c r="P312" s="125">
        <v>34</v>
      </c>
      <c r="Q312" s="5">
        <v>15</v>
      </c>
      <c r="R312" s="138" t="s">
        <v>211</v>
      </c>
      <c r="S312" s="138" t="s">
        <v>211</v>
      </c>
      <c r="T312" s="125">
        <f t="shared" si="65"/>
        <v>49</v>
      </c>
      <c r="U312" s="125"/>
      <c r="V312" s="125"/>
      <c r="W312" s="125"/>
      <c r="X312" s="125"/>
      <c r="Y312" s="125">
        <f t="shared" si="66"/>
        <v>0</v>
      </c>
      <c r="Z312" s="125">
        <f t="shared" si="67"/>
        <v>148</v>
      </c>
      <c r="AA312" s="258">
        <f t="shared" si="68"/>
        <v>0.86046511627906974</v>
      </c>
      <c r="AB312" s="12"/>
      <c r="AC312" s="12"/>
    </row>
    <row r="313" spans="2:30" ht="48" customHeight="1" x14ac:dyDescent="0.2">
      <c r="B313" s="215"/>
      <c r="C313" s="433" t="s">
        <v>148</v>
      </c>
      <c r="D313" s="434"/>
      <c r="E313" s="435"/>
      <c r="F313" s="429" t="s">
        <v>204</v>
      </c>
      <c r="G313" s="430"/>
      <c r="H313" s="430"/>
      <c r="I313" s="430"/>
      <c r="J313" s="430"/>
      <c r="K313" s="430"/>
      <c r="L313" s="430"/>
      <c r="M313" s="430"/>
      <c r="N313" s="430"/>
      <c r="O313" s="430"/>
      <c r="P313" s="430"/>
      <c r="Q313" s="430"/>
      <c r="R313" s="430"/>
      <c r="S313" s="430"/>
      <c r="T313" s="430"/>
      <c r="U313" s="430"/>
      <c r="V313" s="430"/>
      <c r="W313" s="430"/>
      <c r="X313" s="430"/>
      <c r="Y313" s="430"/>
      <c r="Z313" s="430"/>
      <c r="AA313" s="430"/>
      <c r="AB313" s="430"/>
      <c r="AC313" s="431"/>
    </row>
    <row r="314" spans="2:30" ht="95.25" customHeight="1" x14ac:dyDescent="0.2">
      <c r="B314" s="31">
        <v>2</v>
      </c>
      <c r="C314" s="364" t="s">
        <v>317</v>
      </c>
      <c r="D314" s="365"/>
      <c r="E314" s="366"/>
      <c r="F314" s="162"/>
      <c r="G314" s="208"/>
      <c r="H314" s="5" t="s">
        <v>23</v>
      </c>
      <c r="I314" s="161">
        <v>1748</v>
      </c>
      <c r="J314" s="274">
        <v>4497</v>
      </c>
      <c r="K314" s="138" t="s">
        <v>211</v>
      </c>
      <c r="L314" s="138" t="s">
        <v>211</v>
      </c>
      <c r="M314" s="138" t="s">
        <v>211</v>
      </c>
      <c r="N314" s="161">
        <v>810</v>
      </c>
      <c r="O314" s="138" t="s">
        <v>381</v>
      </c>
      <c r="P314" s="138">
        <v>75</v>
      </c>
      <c r="Q314" s="5">
        <v>294</v>
      </c>
      <c r="R314" s="5">
        <f>+R315+R316</f>
        <v>622</v>
      </c>
      <c r="S314" s="138" t="s">
        <v>466</v>
      </c>
      <c r="T314" s="252">
        <f t="shared" si="65"/>
        <v>2123</v>
      </c>
      <c r="U314" s="138"/>
      <c r="V314" s="138"/>
      <c r="W314" s="138"/>
      <c r="X314" s="138">
        <f>SUM(T314:W314)</f>
        <v>2123</v>
      </c>
      <c r="Y314" s="138">
        <f>SUM(N314+S314+X314)</f>
        <v>4065</v>
      </c>
      <c r="Z314" s="10">
        <v>2933</v>
      </c>
      <c r="AA314" s="42">
        <f>SUM(Z314/J314)</f>
        <v>0.65221258616855682</v>
      </c>
      <c r="AB314" s="3">
        <v>1457288</v>
      </c>
      <c r="AC314" s="270" t="s">
        <v>439</v>
      </c>
      <c r="AD314" s="63">
        <v>0</v>
      </c>
    </row>
    <row r="315" spans="2:30" ht="38.25" outlineLevel="1" x14ac:dyDescent="0.2">
      <c r="B315" s="49"/>
      <c r="C315" s="344"/>
      <c r="D315" s="344"/>
      <c r="E315" s="344"/>
      <c r="F315" s="66" t="s">
        <v>318</v>
      </c>
      <c r="G315" s="51"/>
      <c r="H315" s="8" t="s">
        <v>23</v>
      </c>
      <c r="I315" s="161">
        <v>1000</v>
      </c>
      <c r="J315" s="274">
        <v>3255</v>
      </c>
      <c r="K315" s="138" t="s">
        <v>211</v>
      </c>
      <c r="L315" s="138" t="s">
        <v>211</v>
      </c>
      <c r="M315" s="138" t="s">
        <v>211</v>
      </c>
      <c r="N315" s="5">
        <v>810</v>
      </c>
      <c r="O315" s="138" t="s">
        <v>381</v>
      </c>
      <c r="P315" s="138">
        <v>75</v>
      </c>
      <c r="Q315" s="5">
        <v>294</v>
      </c>
      <c r="R315" s="5">
        <v>254</v>
      </c>
      <c r="S315" s="138" t="s">
        <v>421</v>
      </c>
      <c r="T315" s="138">
        <f t="shared" ref="T315:T316" si="69">SUM(P315+Q315+R315+S315)</f>
        <v>1548</v>
      </c>
      <c r="U315" s="138"/>
      <c r="V315" s="138"/>
      <c r="W315" s="138"/>
      <c r="X315" s="138"/>
      <c r="Y315" s="138">
        <f>SUM(U315:X315)</f>
        <v>0</v>
      </c>
      <c r="Z315" s="10">
        <v>2358</v>
      </c>
      <c r="AA315" s="42">
        <f>SUM(Z315/J315)</f>
        <v>0.72442396313364055</v>
      </c>
      <c r="AB315" s="12"/>
      <c r="AC315" s="12"/>
      <c r="AD315" s="63">
        <v>181</v>
      </c>
    </row>
    <row r="316" spans="2:30" ht="51" outlineLevel="1" x14ac:dyDescent="0.2">
      <c r="B316" s="49"/>
      <c r="C316" s="344"/>
      <c r="D316" s="344"/>
      <c r="E316" s="344"/>
      <c r="F316" s="66" t="s">
        <v>319</v>
      </c>
      <c r="G316" s="51"/>
      <c r="H316" s="8" t="s">
        <v>23</v>
      </c>
      <c r="I316" s="161">
        <v>748</v>
      </c>
      <c r="J316" s="274">
        <v>1242</v>
      </c>
      <c r="K316" s="138" t="s">
        <v>211</v>
      </c>
      <c r="L316" s="138" t="s">
        <v>211</v>
      </c>
      <c r="M316" s="138" t="s">
        <v>211</v>
      </c>
      <c r="N316" s="5" t="s">
        <v>211</v>
      </c>
      <c r="O316" s="138" t="s">
        <v>211</v>
      </c>
      <c r="P316" s="138" t="s">
        <v>211</v>
      </c>
      <c r="Q316" s="138" t="s">
        <v>211</v>
      </c>
      <c r="R316" s="5">
        <v>368</v>
      </c>
      <c r="S316" s="138" t="s">
        <v>422</v>
      </c>
      <c r="T316" s="138">
        <f t="shared" si="69"/>
        <v>575</v>
      </c>
      <c r="U316" s="138" t="s">
        <v>211</v>
      </c>
      <c r="V316" s="138" t="s">
        <v>211</v>
      </c>
      <c r="W316" s="138" t="s">
        <v>211</v>
      </c>
      <c r="X316" s="138" t="s">
        <v>211</v>
      </c>
      <c r="Y316" s="138" t="s">
        <v>211</v>
      </c>
      <c r="Z316" s="10">
        <v>575</v>
      </c>
      <c r="AA316" s="42">
        <f>SUM(Z316/J316)</f>
        <v>0.46296296296296297</v>
      </c>
      <c r="AB316" s="12"/>
      <c r="AC316" s="12"/>
      <c r="AD316" s="63">
        <v>0</v>
      </c>
    </row>
    <row r="317" spans="2:30" ht="47.25" customHeight="1" x14ac:dyDescent="0.2">
      <c r="B317" s="215"/>
      <c r="C317" s="547" t="s">
        <v>149</v>
      </c>
      <c r="D317" s="547"/>
      <c r="E317" s="547"/>
      <c r="F317" s="429" t="s">
        <v>205</v>
      </c>
      <c r="G317" s="430"/>
      <c r="H317" s="430"/>
      <c r="I317" s="430"/>
      <c r="J317" s="430"/>
      <c r="K317" s="430"/>
      <c r="L317" s="430"/>
      <c r="M317" s="430"/>
      <c r="N317" s="430"/>
      <c r="O317" s="430"/>
      <c r="P317" s="430"/>
      <c r="Q317" s="430"/>
      <c r="R317" s="430"/>
      <c r="S317" s="430"/>
      <c r="T317" s="430"/>
      <c r="U317" s="430"/>
      <c r="V317" s="430"/>
      <c r="W317" s="430"/>
      <c r="X317" s="430"/>
      <c r="Y317" s="430"/>
      <c r="Z317" s="430"/>
      <c r="AA317" s="430"/>
      <c r="AB317" s="430"/>
      <c r="AC317" s="431"/>
    </row>
    <row r="318" spans="2:30" ht="109.5" customHeight="1" x14ac:dyDescent="0.2">
      <c r="B318" s="31">
        <v>3</v>
      </c>
      <c r="C318" s="364" t="s">
        <v>320</v>
      </c>
      <c r="D318" s="365"/>
      <c r="E318" s="366"/>
      <c r="F318" s="163"/>
      <c r="G318" s="208"/>
      <c r="H318" s="5" t="s">
        <v>24</v>
      </c>
      <c r="I318" s="161">
        <v>2000</v>
      </c>
      <c r="J318" s="274">
        <v>2572</v>
      </c>
      <c r="K318" s="138" t="s">
        <v>211</v>
      </c>
      <c r="L318" s="98">
        <v>263</v>
      </c>
      <c r="M318" s="260">
        <f>+M319</f>
        <v>80</v>
      </c>
      <c r="N318" s="161" t="str">
        <f>+N319</f>
        <v>153</v>
      </c>
      <c r="O318" s="138" t="s">
        <v>383</v>
      </c>
      <c r="P318" s="5">
        <f>+P319</f>
        <v>597</v>
      </c>
      <c r="Q318" s="5">
        <v>163</v>
      </c>
      <c r="R318" s="5">
        <f>+R319</f>
        <v>687</v>
      </c>
      <c r="S318" s="5">
        <v>431</v>
      </c>
      <c r="T318" s="252">
        <f t="shared" ref="T318:T320" si="70">SUM(P318+Q318+R318+S318)</f>
        <v>1878</v>
      </c>
      <c r="U318" s="138"/>
      <c r="V318" s="138"/>
      <c r="W318" s="138"/>
      <c r="X318" s="138"/>
      <c r="Y318" s="138">
        <f>SUM(U318:X318)</f>
        <v>0</v>
      </c>
      <c r="Z318" s="292">
        <f>SUM(O318+T318+Y318)</f>
        <v>2374</v>
      </c>
      <c r="AA318" s="251">
        <f>SUM(Z318/J318)</f>
        <v>0.92301710730948683</v>
      </c>
      <c r="AB318" s="3">
        <v>1966233</v>
      </c>
      <c r="AC318" s="267" t="s">
        <v>440</v>
      </c>
      <c r="AD318" s="63">
        <v>1156</v>
      </c>
    </row>
    <row r="319" spans="2:30" ht="86.25" customHeight="1" x14ac:dyDescent="0.2">
      <c r="B319" s="31"/>
      <c r="C319" s="170"/>
      <c r="D319" s="171"/>
      <c r="E319" s="172"/>
      <c r="F319" s="159" t="s">
        <v>320</v>
      </c>
      <c r="G319" s="51"/>
      <c r="H319" s="8" t="s">
        <v>23</v>
      </c>
      <c r="I319" s="161">
        <v>2000</v>
      </c>
      <c r="J319" s="274">
        <v>2572</v>
      </c>
      <c r="K319" s="138" t="s">
        <v>211</v>
      </c>
      <c r="L319" s="98">
        <v>263</v>
      </c>
      <c r="M319" s="98">
        <v>80</v>
      </c>
      <c r="N319" s="138" t="s">
        <v>382</v>
      </c>
      <c r="O319" s="138" t="s">
        <v>383</v>
      </c>
      <c r="P319" s="5">
        <v>597</v>
      </c>
      <c r="Q319" s="5">
        <v>163</v>
      </c>
      <c r="R319" s="5">
        <v>687</v>
      </c>
      <c r="S319" s="5">
        <v>431</v>
      </c>
      <c r="T319" s="252">
        <f t="shared" si="70"/>
        <v>1878</v>
      </c>
      <c r="U319" s="138"/>
      <c r="V319" s="138"/>
      <c r="W319" s="138"/>
      <c r="X319" s="138"/>
      <c r="Y319" s="138">
        <f>SUM(U319:X319)</f>
        <v>0</v>
      </c>
      <c r="Z319" s="292">
        <f>SUM(O319+T319+Y319)</f>
        <v>2374</v>
      </c>
      <c r="AA319" s="251">
        <f>SUM(Z319/J319)</f>
        <v>0.92301710730948683</v>
      </c>
      <c r="AB319" s="289"/>
      <c r="AC319" s="243"/>
      <c r="AD319" s="63"/>
    </row>
    <row r="320" spans="2:30" ht="38.25" x14ac:dyDescent="0.2">
      <c r="B320" s="49"/>
      <c r="C320" s="344"/>
      <c r="D320" s="344"/>
      <c r="E320" s="344"/>
      <c r="F320" s="66" t="s">
        <v>321</v>
      </c>
      <c r="G320" s="51"/>
      <c r="H320" s="19" t="s">
        <v>51</v>
      </c>
      <c r="I320" s="298">
        <v>3</v>
      </c>
      <c r="J320" s="274">
        <v>35</v>
      </c>
      <c r="K320" s="125" t="s">
        <v>211</v>
      </c>
      <c r="L320" s="125" t="s">
        <v>211</v>
      </c>
      <c r="M320" s="125" t="s">
        <v>211</v>
      </c>
      <c r="N320" s="125" t="s">
        <v>211</v>
      </c>
      <c r="O320" s="125" t="s">
        <v>211</v>
      </c>
      <c r="P320" s="125" t="s">
        <v>211</v>
      </c>
      <c r="Q320" s="5">
        <v>1</v>
      </c>
      <c r="R320" s="125" t="s">
        <v>211</v>
      </c>
      <c r="S320" s="125" t="s">
        <v>211</v>
      </c>
      <c r="T320" s="125">
        <f t="shared" si="70"/>
        <v>1</v>
      </c>
      <c r="U320" s="125"/>
      <c r="V320" s="125"/>
      <c r="W320" s="125"/>
      <c r="X320" s="125"/>
      <c r="Y320" s="125">
        <f>SUM(U320:X320)</f>
        <v>0</v>
      </c>
      <c r="Z320" s="125">
        <f>SUM(O320+T320+Y320)</f>
        <v>1</v>
      </c>
      <c r="AA320" s="258">
        <f>SUM(Z320/J320)</f>
        <v>2.8571428571428571E-2</v>
      </c>
      <c r="AB320" s="12"/>
      <c r="AC320" s="12"/>
      <c r="AD320" s="63">
        <v>1156</v>
      </c>
    </row>
    <row r="321" spans="2:31" ht="15.75" hidden="1" customHeight="1" x14ac:dyDescent="0.2">
      <c r="B321" s="49"/>
      <c r="C321" s="332"/>
      <c r="D321" s="333"/>
      <c r="E321" s="334"/>
      <c r="F321" s="66"/>
      <c r="G321" s="66" t="s">
        <v>146</v>
      </c>
      <c r="H321" s="49"/>
      <c r="I321" s="161"/>
      <c r="J321" s="161"/>
      <c r="K321" s="136" t="s">
        <v>211</v>
      </c>
      <c r="L321" s="8"/>
      <c r="M321" s="8"/>
      <c r="N321" s="8"/>
      <c r="O321" s="136" t="s">
        <v>211</v>
      </c>
      <c r="P321" s="136" t="s">
        <v>211</v>
      </c>
      <c r="Q321" s="136" t="s">
        <v>211</v>
      </c>
      <c r="R321" s="136" t="s">
        <v>211</v>
      </c>
      <c r="S321" s="136" t="s">
        <v>211</v>
      </c>
      <c r="T321" s="136" t="s">
        <v>211</v>
      </c>
      <c r="U321" s="136" t="s">
        <v>211</v>
      </c>
      <c r="V321" s="136" t="s">
        <v>211</v>
      </c>
      <c r="W321" s="136" t="s">
        <v>211</v>
      </c>
      <c r="X321" s="136" t="s">
        <v>211</v>
      </c>
      <c r="Y321" s="136" t="s">
        <v>211</v>
      </c>
      <c r="Z321" s="136" t="s">
        <v>211</v>
      </c>
      <c r="AA321" s="136" t="s">
        <v>211</v>
      </c>
      <c r="AB321" s="9"/>
      <c r="AC321" s="51"/>
      <c r="AD321" s="81"/>
    </row>
    <row r="322" spans="2:31" ht="27" hidden="1" customHeight="1" x14ac:dyDescent="0.2">
      <c r="B322" s="49"/>
      <c r="C322" s="332"/>
      <c r="D322" s="333"/>
      <c r="E322" s="334"/>
      <c r="F322" s="66"/>
      <c r="G322" s="66" t="s">
        <v>180</v>
      </c>
      <c r="H322" s="49"/>
      <c r="I322" s="161"/>
      <c r="J322" s="161"/>
      <c r="K322" s="136" t="s">
        <v>211</v>
      </c>
      <c r="L322" s="116"/>
      <c r="M322" s="8"/>
      <c r="N322" s="8"/>
      <c r="O322" s="136" t="s">
        <v>211</v>
      </c>
      <c r="P322" s="136" t="s">
        <v>211</v>
      </c>
      <c r="Q322" s="136" t="s">
        <v>211</v>
      </c>
      <c r="R322" s="136" t="s">
        <v>211</v>
      </c>
      <c r="S322" s="136" t="s">
        <v>211</v>
      </c>
      <c r="T322" s="136" t="s">
        <v>211</v>
      </c>
      <c r="U322" s="136" t="s">
        <v>211</v>
      </c>
      <c r="V322" s="136" t="s">
        <v>211</v>
      </c>
      <c r="W322" s="136" t="s">
        <v>211</v>
      </c>
      <c r="X322" s="136" t="s">
        <v>211</v>
      </c>
      <c r="Y322" s="136" t="s">
        <v>211</v>
      </c>
      <c r="Z322" s="136" t="s">
        <v>211</v>
      </c>
      <c r="AA322" s="136" t="s">
        <v>211</v>
      </c>
      <c r="AB322" s="9"/>
      <c r="AC322" s="51"/>
      <c r="AD322" s="81"/>
    </row>
    <row r="323" spans="2:31" ht="20.25" customHeight="1" x14ac:dyDescent="0.2">
      <c r="B323" s="363" t="s">
        <v>77</v>
      </c>
      <c r="C323" s="363"/>
      <c r="D323" s="363"/>
      <c r="E323" s="363"/>
      <c r="F323" s="363"/>
      <c r="G323" s="363"/>
      <c r="H323" s="363"/>
      <c r="I323" s="363"/>
      <c r="J323" s="363"/>
      <c r="K323" s="363"/>
      <c r="L323" s="363"/>
      <c r="M323" s="363"/>
      <c r="N323" s="363"/>
      <c r="O323" s="363"/>
      <c r="P323" s="363"/>
      <c r="Q323" s="363"/>
      <c r="R323" s="363"/>
      <c r="S323" s="363"/>
      <c r="T323" s="363"/>
      <c r="U323" s="363"/>
      <c r="V323" s="363"/>
      <c r="W323" s="363"/>
      <c r="X323" s="363"/>
      <c r="Y323" s="363"/>
      <c r="Z323" s="363"/>
      <c r="AA323" s="363"/>
      <c r="AB323" s="363"/>
      <c r="AC323" s="101"/>
    </row>
    <row r="324" spans="2:31" s="188" customFormat="1" ht="15.75" customHeight="1" x14ac:dyDescent="0.2">
      <c r="B324" s="373" t="s">
        <v>100</v>
      </c>
      <c r="C324" s="373"/>
      <c r="D324" s="373"/>
      <c r="E324" s="373"/>
      <c r="F324" s="408" t="s">
        <v>134</v>
      </c>
      <c r="G324" s="408"/>
      <c r="H324" s="408"/>
      <c r="I324" s="408"/>
      <c r="J324" s="408"/>
      <c r="K324" s="408"/>
      <c r="L324" s="408"/>
      <c r="M324" s="408"/>
      <c r="N324" s="408"/>
      <c r="O324" s="408"/>
      <c r="P324" s="408"/>
      <c r="Q324" s="408"/>
      <c r="R324" s="408"/>
      <c r="S324" s="408"/>
      <c r="T324" s="408"/>
      <c r="U324" s="408"/>
      <c r="V324" s="408"/>
      <c r="W324" s="408"/>
      <c r="X324" s="408"/>
      <c r="Y324" s="408"/>
      <c r="Z324" s="408"/>
      <c r="AA324" s="408"/>
      <c r="AB324" s="408"/>
      <c r="AC324" s="408"/>
    </row>
    <row r="325" spans="2:31" s="188" customFormat="1" ht="40.5" customHeight="1" x14ac:dyDescent="0.2">
      <c r="B325" s="428" t="s">
        <v>90</v>
      </c>
      <c r="C325" s="428"/>
      <c r="D325" s="428"/>
      <c r="E325" s="428"/>
      <c r="F325" s="408" t="s">
        <v>221</v>
      </c>
      <c r="G325" s="408"/>
      <c r="H325" s="408"/>
      <c r="I325" s="408"/>
      <c r="J325" s="408"/>
      <c r="K325" s="408"/>
      <c r="L325" s="408"/>
      <c r="M325" s="408"/>
      <c r="N325" s="408"/>
      <c r="O325" s="408"/>
      <c r="P325" s="408"/>
      <c r="Q325" s="408"/>
      <c r="R325" s="408"/>
      <c r="S325" s="408"/>
      <c r="T325" s="408"/>
      <c r="U325" s="408"/>
      <c r="V325" s="408"/>
      <c r="W325" s="408"/>
      <c r="X325" s="408"/>
      <c r="Y325" s="408"/>
      <c r="Z325" s="408"/>
      <c r="AA325" s="408"/>
      <c r="AB325" s="408"/>
      <c r="AC325" s="408"/>
    </row>
    <row r="326" spans="2:31" s="188" customFormat="1" ht="18" customHeight="1" x14ac:dyDescent="0.2">
      <c r="B326" s="369" t="s">
        <v>145</v>
      </c>
      <c r="C326" s="370"/>
      <c r="D326" s="370"/>
      <c r="E326" s="371"/>
      <c r="F326" s="447" t="s">
        <v>226</v>
      </c>
      <c r="G326" s="448"/>
      <c r="H326" s="448"/>
      <c r="I326" s="448"/>
      <c r="J326" s="448"/>
      <c r="K326" s="448"/>
      <c r="L326" s="448"/>
      <c r="M326" s="448"/>
      <c r="N326" s="448"/>
      <c r="O326" s="448"/>
      <c r="P326" s="448"/>
      <c r="Q326" s="448"/>
      <c r="R326" s="448"/>
      <c r="S326" s="448"/>
      <c r="T326" s="448"/>
      <c r="U326" s="448"/>
      <c r="V326" s="448"/>
      <c r="W326" s="448"/>
      <c r="X326" s="448"/>
      <c r="Y326" s="448"/>
      <c r="Z326" s="448"/>
      <c r="AA326" s="448"/>
      <c r="AB326" s="448"/>
      <c r="AC326" s="449"/>
    </row>
    <row r="327" spans="2:31" s="188" customFormat="1" ht="33" customHeight="1" x14ac:dyDescent="0.2">
      <c r="B327" s="349" t="s">
        <v>102</v>
      </c>
      <c r="C327" s="349"/>
      <c r="D327" s="349"/>
      <c r="E327" s="349"/>
      <c r="F327" s="426" t="s">
        <v>135</v>
      </c>
      <c r="G327" s="426"/>
      <c r="H327" s="426"/>
      <c r="I327" s="426"/>
      <c r="J327" s="426"/>
      <c r="K327" s="426"/>
      <c r="L327" s="426"/>
      <c r="M327" s="426"/>
      <c r="N327" s="426"/>
      <c r="O327" s="426"/>
      <c r="P327" s="426"/>
      <c r="Q327" s="426"/>
      <c r="R327" s="426"/>
      <c r="S327" s="426"/>
      <c r="T327" s="426"/>
      <c r="U327" s="426"/>
      <c r="V327" s="426"/>
      <c r="W327" s="426"/>
      <c r="X327" s="426"/>
      <c r="Y327" s="426"/>
      <c r="Z327" s="426"/>
      <c r="AA327" s="426"/>
      <c r="AB327" s="426"/>
      <c r="AC327" s="426"/>
    </row>
    <row r="328" spans="2:31" s="188" customFormat="1" ht="17.25" customHeight="1" x14ac:dyDescent="0.2">
      <c r="B328" s="349" t="s">
        <v>103</v>
      </c>
      <c r="C328" s="349"/>
      <c r="D328" s="349"/>
      <c r="E328" s="349"/>
      <c r="F328" s="386" t="s">
        <v>136</v>
      </c>
      <c r="G328" s="386"/>
      <c r="H328" s="386"/>
      <c r="I328" s="386"/>
      <c r="J328" s="386"/>
      <c r="K328" s="386"/>
      <c r="L328" s="386"/>
      <c r="M328" s="386"/>
      <c r="N328" s="386"/>
      <c r="O328" s="386"/>
      <c r="P328" s="386"/>
      <c r="Q328" s="386"/>
      <c r="R328" s="386"/>
      <c r="S328" s="386"/>
      <c r="T328" s="386"/>
      <c r="U328" s="386"/>
      <c r="V328" s="386"/>
      <c r="W328" s="386"/>
      <c r="X328" s="386"/>
      <c r="Y328" s="386"/>
      <c r="Z328" s="386"/>
      <c r="AA328" s="386"/>
      <c r="AB328" s="386"/>
      <c r="AC328" s="386"/>
    </row>
    <row r="329" spans="2:31" ht="18" customHeight="1" x14ac:dyDescent="0.2">
      <c r="B329" s="345"/>
      <c r="C329" s="346"/>
      <c r="D329" s="346"/>
      <c r="E329" s="346"/>
      <c r="F329" s="346"/>
      <c r="G329" s="346"/>
      <c r="H329" s="345" t="s">
        <v>235</v>
      </c>
      <c r="I329" s="346"/>
      <c r="J329" s="346"/>
      <c r="K329" s="346"/>
      <c r="L329" s="346"/>
      <c r="M329" s="346"/>
      <c r="N329" s="346"/>
      <c r="O329" s="346"/>
      <c r="P329" s="346"/>
      <c r="Q329" s="346"/>
      <c r="R329" s="346"/>
      <c r="S329" s="346"/>
      <c r="T329" s="346"/>
      <c r="U329" s="346"/>
      <c r="V329" s="346"/>
      <c r="W329" s="346"/>
      <c r="X329" s="346"/>
      <c r="Y329" s="346"/>
      <c r="Z329" s="346"/>
      <c r="AA329" s="346"/>
      <c r="AB329" s="346"/>
      <c r="AC329" s="346"/>
    </row>
    <row r="330" spans="2:31" ht="53.25" customHeight="1" x14ac:dyDescent="0.2">
      <c r="B330" s="191" t="s">
        <v>139</v>
      </c>
      <c r="C330" s="415" t="s">
        <v>94</v>
      </c>
      <c r="D330" s="416"/>
      <c r="E330" s="417"/>
      <c r="F330" s="192" t="s">
        <v>95</v>
      </c>
      <c r="G330" s="193" t="s">
        <v>4</v>
      </c>
      <c r="H330" s="194" t="s">
        <v>3</v>
      </c>
      <c r="I330" s="195" t="s">
        <v>96</v>
      </c>
      <c r="J330" s="195" t="s">
        <v>150</v>
      </c>
      <c r="K330" s="85" t="s">
        <v>5</v>
      </c>
      <c r="L330" s="85" t="s">
        <v>6</v>
      </c>
      <c r="M330" s="85" t="s">
        <v>7</v>
      </c>
      <c r="N330" s="85" t="s">
        <v>8</v>
      </c>
      <c r="O330" s="86" t="s">
        <v>157</v>
      </c>
      <c r="P330" s="87" t="s">
        <v>9</v>
      </c>
      <c r="Q330" s="87" t="s">
        <v>10</v>
      </c>
      <c r="R330" s="87" t="s">
        <v>11</v>
      </c>
      <c r="S330" s="87" t="s">
        <v>12</v>
      </c>
      <c r="T330" s="86" t="s">
        <v>158</v>
      </c>
      <c r="U330" s="87" t="s">
        <v>13</v>
      </c>
      <c r="V330" s="87" t="s">
        <v>14</v>
      </c>
      <c r="W330" s="87" t="s">
        <v>15</v>
      </c>
      <c r="X330" s="87" t="s">
        <v>16</v>
      </c>
      <c r="Y330" s="86" t="s">
        <v>159</v>
      </c>
      <c r="Z330" s="196" t="s">
        <v>97</v>
      </c>
      <c r="AA330" s="196" t="s">
        <v>98</v>
      </c>
      <c r="AB330" s="197" t="s">
        <v>322</v>
      </c>
      <c r="AC330" s="196" t="s">
        <v>99</v>
      </c>
    </row>
    <row r="331" spans="2:31" ht="27.75" customHeight="1" x14ac:dyDescent="0.2">
      <c r="B331" s="423" t="s">
        <v>17</v>
      </c>
      <c r="C331" s="424"/>
      <c r="D331" s="424"/>
      <c r="E331" s="424"/>
      <c r="F331" s="424"/>
      <c r="G331" s="424"/>
      <c r="H331" s="425"/>
      <c r="I331" s="56">
        <f>+I332+I337+I353</f>
        <v>138600</v>
      </c>
      <c r="J331" s="56">
        <v>150700</v>
      </c>
      <c r="K331" s="56">
        <f t="shared" ref="K331:S331" si="71">+K332+K337+K353</f>
        <v>7787</v>
      </c>
      <c r="L331" s="56">
        <f t="shared" si="71"/>
        <v>15976</v>
      </c>
      <c r="M331" s="56">
        <f t="shared" si="71"/>
        <v>15042</v>
      </c>
      <c r="N331" s="56">
        <f t="shared" si="71"/>
        <v>10278</v>
      </c>
      <c r="O331" s="56">
        <f t="shared" si="71"/>
        <v>49083</v>
      </c>
      <c r="P331" s="56">
        <f t="shared" si="71"/>
        <v>14970</v>
      </c>
      <c r="Q331" s="56">
        <f t="shared" si="71"/>
        <v>14848</v>
      </c>
      <c r="R331" s="56">
        <f t="shared" si="71"/>
        <v>14051</v>
      </c>
      <c r="S331" s="56">
        <f t="shared" si="71"/>
        <v>15620</v>
      </c>
      <c r="T331" s="56">
        <f>+T332+T337+T353</f>
        <v>59489</v>
      </c>
      <c r="U331" s="56">
        <f>+U332+U353+U336</f>
        <v>0</v>
      </c>
      <c r="V331" s="56">
        <f>+V332+V353+V336</f>
        <v>0</v>
      </c>
      <c r="W331" s="56">
        <f>+W332+W353+W336</f>
        <v>0</v>
      </c>
      <c r="X331" s="56">
        <f>+X332+X353+X336</f>
        <v>0</v>
      </c>
      <c r="Y331" s="56">
        <f>+Y332+Y353</f>
        <v>0</v>
      </c>
      <c r="Z331" s="56">
        <f>+Z332+Z337+Z353</f>
        <v>108572</v>
      </c>
      <c r="AA331" s="106">
        <f>SUM(Z331/J331)</f>
        <v>0.7204512276045123</v>
      </c>
      <c r="AB331" s="105">
        <f>+AB332+AB353</f>
        <v>43503947</v>
      </c>
      <c r="AC331" s="126" t="s">
        <v>459</v>
      </c>
    </row>
    <row r="332" spans="2:31" ht="66.75" customHeight="1" x14ac:dyDescent="0.2">
      <c r="B332" s="31">
        <v>1</v>
      </c>
      <c r="C332" s="364" t="s">
        <v>206</v>
      </c>
      <c r="D332" s="365"/>
      <c r="E332" s="366"/>
      <c r="F332" s="162"/>
      <c r="G332" s="214"/>
      <c r="H332" s="162" t="s">
        <v>23</v>
      </c>
      <c r="I332" s="161">
        <v>57432</v>
      </c>
      <c r="J332" s="274">
        <v>62920</v>
      </c>
      <c r="K332" s="161">
        <f>+K333+K341+K344</f>
        <v>4323</v>
      </c>
      <c r="L332" s="186">
        <f>+L333+L341+L344</f>
        <v>8083</v>
      </c>
      <c r="M332" s="260">
        <f>+M333+M341+M344</f>
        <v>8520</v>
      </c>
      <c r="N332" s="286">
        <f>+N333+N341+N344</f>
        <v>4606</v>
      </c>
      <c r="O332" s="161">
        <f>SUM(K332:N332)</f>
        <v>25532</v>
      </c>
      <c r="P332" s="161">
        <v>8694</v>
      </c>
      <c r="Q332" s="297">
        <f>+Q333+Q341+Q344</f>
        <v>6582</v>
      </c>
      <c r="R332" s="300">
        <f>+R333+R341+R344</f>
        <v>7530</v>
      </c>
      <c r="S332" s="161">
        <f>+S333+S341+S344</f>
        <v>8448</v>
      </c>
      <c r="T332" s="161">
        <f t="shared" ref="T332:T350" si="72">SUM(P332+Q332+R332+S332)</f>
        <v>31254</v>
      </c>
      <c r="U332" s="161"/>
      <c r="V332" s="161"/>
      <c r="W332" s="161"/>
      <c r="X332" s="161"/>
      <c r="Y332" s="161">
        <f>SUM(U332:X332)</f>
        <v>0</v>
      </c>
      <c r="Z332" s="161">
        <f>SUM(O332+T332+Y332)</f>
        <v>56786</v>
      </c>
      <c r="AA332" s="42">
        <f t="shared" ref="AA332:AA350" si="73">SUM(Z332/J332)</f>
        <v>0.90251112523839794</v>
      </c>
      <c r="AB332" s="3">
        <v>26947719</v>
      </c>
      <c r="AC332" s="270" t="s">
        <v>441</v>
      </c>
      <c r="AD332" s="63">
        <f>2090+1870+1590+1050</f>
        <v>6600</v>
      </c>
    </row>
    <row r="333" spans="2:31" ht="46.5" customHeight="1" x14ac:dyDescent="0.2">
      <c r="B333" s="49"/>
      <c r="C333" s="344"/>
      <c r="D333" s="344"/>
      <c r="E333" s="344"/>
      <c r="F333" s="66" t="s">
        <v>329</v>
      </c>
      <c r="G333" s="51"/>
      <c r="H333" s="19" t="s">
        <v>23</v>
      </c>
      <c r="I333" s="161">
        <v>45807</v>
      </c>
      <c r="J333" s="274">
        <v>49280</v>
      </c>
      <c r="K333" s="161">
        <v>4006</v>
      </c>
      <c r="L333" s="186">
        <v>7149</v>
      </c>
      <c r="M333" s="260">
        <v>7609</v>
      </c>
      <c r="N333" s="286">
        <v>4088</v>
      </c>
      <c r="O333" s="161">
        <f>SUM(K333:N333)</f>
        <v>22852</v>
      </c>
      <c r="P333" s="161">
        <v>7592</v>
      </c>
      <c r="Q333" s="297">
        <v>5983</v>
      </c>
      <c r="R333" s="300">
        <v>6110</v>
      </c>
      <c r="S333" s="161">
        <v>6622</v>
      </c>
      <c r="T333" s="161">
        <f t="shared" si="72"/>
        <v>26307</v>
      </c>
      <c r="U333" s="161"/>
      <c r="V333" s="161"/>
      <c r="W333" s="161"/>
      <c r="X333" s="161"/>
      <c r="Y333" s="161">
        <f>SUM(U333:X333)</f>
        <v>0</v>
      </c>
      <c r="Z333" s="161">
        <f>SUM(O333+T333+Y333)</f>
        <v>49159</v>
      </c>
      <c r="AA333" s="314">
        <f t="shared" si="73"/>
        <v>0.99754464285714284</v>
      </c>
      <c r="AB333" s="323" t="s">
        <v>460</v>
      </c>
      <c r="AC333" s="324"/>
      <c r="AD333" s="63">
        <f>1700+1500+1200+800</f>
        <v>5200</v>
      </c>
      <c r="AE333" s="232"/>
    </row>
    <row r="334" spans="2:31" ht="21.75" customHeight="1" outlineLevel="1" x14ac:dyDescent="0.2">
      <c r="B334" s="49"/>
      <c r="C334" s="344"/>
      <c r="D334" s="344"/>
      <c r="E334" s="344"/>
      <c r="F334" s="66"/>
      <c r="G334" s="66" t="s">
        <v>78</v>
      </c>
      <c r="H334" s="19" t="s">
        <v>24</v>
      </c>
      <c r="I334" s="67">
        <v>23787</v>
      </c>
      <c r="J334" s="67">
        <v>23787</v>
      </c>
      <c r="K334" s="68">
        <v>579</v>
      </c>
      <c r="L334" s="68">
        <v>2045</v>
      </c>
      <c r="M334" s="68">
        <v>3343</v>
      </c>
      <c r="N334" s="68">
        <v>1263</v>
      </c>
      <c r="O334" s="43">
        <f>SUM(K334:N334)</f>
        <v>7230</v>
      </c>
      <c r="P334" s="43">
        <v>3044</v>
      </c>
      <c r="Q334" s="43">
        <v>2198</v>
      </c>
      <c r="R334" s="43">
        <v>2309</v>
      </c>
      <c r="S334" s="43">
        <v>3083</v>
      </c>
      <c r="T334" s="67">
        <f t="shared" si="72"/>
        <v>10634</v>
      </c>
      <c r="U334" s="43"/>
      <c r="V334" s="43"/>
      <c r="W334" s="68"/>
      <c r="X334" s="8"/>
      <c r="Y334" s="43">
        <f>SUM(U334:X334)</f>
        <v>0</v>
      </c>
      <c r="Z334" s="43">
        <f>SUM(O334+T334+Y334)</f>
        <v>17864</v>
      </c>
      <c r="AA334" s="70">
        <f t="shared" si="73"/>
        <v>0.75099844452852393</v>
      </c>
      <c r="AB334" s="325"/>
      <c r="AC334" s="326"/>
    </row>
    <row r="335" spans="2:31" ht="25.5" outlineLevel="1" x14ac:dyDescent="0.2">
      <c r="B335" s="49"/>
      <c r="C335" s="344"/>
      <c r="D335" s="344"/>
      <c r="E335" s="344"/>
      <c r="F335" s="89"/>
      <c r="G335" s="66" t="s">
        <v>323</v>
      </c>
      <c r="H335" s="19" t="s">
        <v>23</v>
      </c>
      <c r="I335" s="67">
        <v>7020</v>
      </c>
      <c r="J335" s="284">
        <v>5116</v>
      </c>
      <c r="K335" s="113" t="s">
        <v>211</v>
      </c>
      <c r="L335" s="113" t="s">
        <v>211</v>
      </c>
      <c r="M335" s="68">
        <v>681</v>
      </c>
      <c r="N335" s="68">
        <v>347</v>
      </c>
      <c r="O335" s="113" t="s">
        <v>393</v>
      </c>
      <c r="P335" s="113">
        <v>1516</v>
      </c>
      <c r="Q335" s="43">
        <v>215</v>
      </c>
      <c r="R335" s="43">
        <v>424</v>
      </c>
      <c r="S335" s="43">
        <v>2463</v>
      </c>
      <c r="T335" s="113">
        <f t="shared" si="72"/>
        <v>4618</v>
      </c>
      <c r="U335" s="113" t="s">
        <v>211</v>
      </c>
      <c r="V335" s="113" t="s">
        <v>211</v>
      </c>
      <c r="W335" s="113" t="s">
        <v>211</v>
      </c>
      <c r="X335" s="113" t="s">
        <v>211</v>
      </c>
      <c r="Y335" s="113" t="s">
        <v>211</v>
      </c>
      <c r="Z335" s="113" t="s">
        <v>461</v>
      </c>
      <c r="AA335" s="273">
        <f t="shared" si="73"/>
        <v>1</v>
      </c>
      <c r="AB335" s="325"/>
      <c r="AC335" s="326"/>
    </row>
    <row r="336" spans="2:31" ht="72.75" customHeight="1" outlineLevel="1" x14ac:dyDescent="0.2">
      <c r="B336" s="49"/>
      <c r="C336" s="344"/>
      <c r="D336" s="344"/>
      <c r="E336" s="344"/>
      <c r="F336" s="89"/>
      <c r="G336" s="66" t="s">
        <v>79</v>
      </c>
      <c r="H336" s="19" t="s">
        <v>23</v>
      </c>
      <c r="I336" s="43">
        <v>15000</v>
      </c>
      <c r="J336" s="279">
        <v>20377</v>
      </c>
      <c r="K336" s="43">
        <v>3427</v>
      </c>
      <c r="L336" s="68">
        <v>5104</v>
      </c>
      <c r="M336" s="43">
        <v>3585</v>
      </c>
      <c r="N336" s="43">
        <v>2478</v>
      </c>
      <c r="O336" s="161">
        <f t="shared" ref="O336:O343" si="74">SUM(K336:N336)</f>
        <v>14594</v>
      </c>
      <c r="P336" s="161">
        <v>3032</v>
      </c>
      <c r="Q336" s="43">
        <v>3570</v>
      </c>
      <c r="R336" s="43">
        <v>3377</v>
      </c>
      <c r="S336" s="43">
        <v>1076</v>
      </c>
      <c r="T336" s="161">
        <f t="shared" si="72"/>
        <v>11055</v>
      </c>
      <c r="U336" s="161"/>
      <c r="V336" s="161"/>
      <c r="W336" s="161"/>
      <c r="X336" s="161"/>
      <c r="Y336" s="161">
        <f t="shared" ref="Y336:Y341" si="75">SUM(U336:X336)</f>
        <v>0</v>
      </c>
      <c r="Z336" s="43">
        <v>20377</v>
      </c>
      <c r="AA336" s="273">
        <f t="shared" si="73"/>
        <v>1</v>
      </c>
      <c r="AB336" s="327"/>
      <c r="AC336" s="328"/>
      <c r="AD336" s="63"/>
      <c r="AE336" s="232"/>
    </row>
    <row r="337" spans="2:32" ht="45" customHeight="1" x14ac:dyDescent="0.2">
      <c r="B337" s="49"/>
      <c r="C337" s="344"/>
      <c r="D337" s="344"/>
      <c r="E337" s="344"/>
      <c r="F337" s="66" t="s">
        <v>330</v>
      </c>
      <c r="G337" s="51"/>
      <c r="H337" s="19" t="s">
        <v>51</v>
      </c>
      <c r="I337" s="10">
        <v>12596</v>
      </c>
      <c r="J337" s="274">
        <v>13565</v>
      </c>
      <c r="K337" s="69">
        <v>1013</v>
      </c>
      <c r="L337" s="69">
        <v>1173</v>
      </c>
      <c r="M337" s="69">
        <v>1017</v>
      </c>
      <c r="N337" s="69">
        <v>774</v>
      </c>
      <c r="O337" s="161">
        <f t="shared" si="74"/>
        <v>3977</v>
      </c>
      <c r="P337" s="161">
        <v>991</v>
      </c>
      <c r="Q337" s="297">
        <v>1262</v>
      </c>
      <c r="R337" s="300">
        <v>840</v>
      </c>
      <c r="S337" s="161">
        <v>1038</v>
      </c>
      <c r="T337" s="161">
        <f t="shared" si="72"/>
        <v>4131</v>
      </c>
      <c r="U337" s="161"/>
      <c r="V337" s="161"/>
      <c r="W337" s="161"/>
      <c r="X337" s="161"/>
      <c r="Y337" s="161">
        <f t="shared" si="75"/>
        <v>0</v>
      </c>
      <c r="Z337" s="161">
        <f t="shared" ref="Z337:Z341" si="76">SUM(O337+T337+Y337)</f>
        <v>8108</v>
      </c>
      <c r="AA337" s="42">
        <f t="shared" si="73"/>
        <v>0.59771470696645779</v>
      </c>
      <c r="AB337" s="28"/>
      <c r="AC337" s="28"/>
    </row>
    <row r="338" spans="2:32" ht="30.75" customHeight="1" outlineLevel="1" x14ac:dyDescent="0.2">
      <c r="B338" s="49"/>
      <c r="C338" s="344"/>
      <c r="D338" s="344"/>
      <c r="E338" s="344"/>
      <c r="F338" s="164"/>
      <c r="G338" s="66" t="s">
        <v>80</v>
      </c>
      <c r="H338" s="19" t="s">
        <v>51</v>
      </c>
      <c r="I338" s="67">
        <v>10000</v>
      </c>
      <c r="J338" s="43">
        <v>10500</v>
      </c>
      <c r="K338" s="68">
        <v>627</v>
      </c>
      <c r="L338" s="68">
        <v>1084</v>
      </c>
      <c r="M338" s="68">
        <v>973</v>
      </c>
      <c r="N338" s="68">
        <v>727</v>
      </c>
      <c r="O338" s="43">
        <f t="shared" si="74"/>
        <v>3411</v>
      </c>
      <c r="P338" s="43">
        <v>932</v>
      </c>
      <c r="Q338" s="43">
        <v>1230</v>
      </c>
      <c r="R338" s="43">
        <v>805</v>
      </c>
      <c r="S338" s="43">
        <v>1004</v>
      </c>
      <c r="T338" s="43">
        <f t="shared" si="72"/>
        <v>3971</v>
      </c>
      <c r="U338" s="43"/>
      <c r="V338" s="43"/>
      <c r="W338" s="43"/>
      <c r="X338" s="43"/>
      <c r="Y338" s="43">
        <f t="shared" si="75"/>
        <v>0</v>
      </c>
      <c r="Z338" s="43">
        <f t="shared" si="76"/>
        <v>7382</v>
      </c>
      <c r="AA338" s="70">
        <f t="shared" si="73"/>
        <v>0.70304761904761903</v>
      </c>
      <c r="AB338" s="28"/>
      <c r="AC338" s="28"/>
    </row>
    <row r="339" spans="2:32" ht="31.5" customHeight="1" outlineLevel="1" x14ac:dyDescent="0.2">
      <c r="B339" s="49"/>
      <c r="C339" s="344"/>
      <c r="D339" s="344"/>
      <c r="E339" s="344"/>
      <c r="F339" s="164"/>
      <c r="G339" s="66" t="s">
        <v>81</v>
      </c>
      <c r="H339" s="19" t="s">
        <v>51</v>
      </c>
      <c r="I339" s="67">
        <v>400</v>
      </c>
      <c r="J339" s="284">
        <v>400</v>
      </c>
      <c r="K339" s="68">
        <v>18</v>
      </c>
      <c r="L339" s="68">
        <v>81</v>
      </c>
      <c r="M339" s="68">
        <v>44</v>
      </c>
      <c r="N339" s="68">
        <v>44</v>
      </c>
      <c r="O339" s="43">
        <f t="shared" si="74"/>
        <v>187</v>
      </c>
      <c r="P339" s="43">
        <v>41</v>
      </c>
      <c r="Q339" s="43">
        <v>29</v>
      </c>
      <c r="R339" s="43">
        <v>30</v>
      </c>
      <c r="S339" s="43">
        <v>34</v>
      </c>
      <c r="T339" s="43">
        <f t="shared" si="72"/>
        <v>134</v>
      </c>
      <c r="U339" s="43"/>
      <c r="V339" s="43"/>
      <c r="W339" s="43"/>
      <c r="X339" s="43"/>
      <c r="Y339" s="43">
        <f t="shared" si="75"/>
        <v>0</v>
      </c>
      <c r="Z339" s="43">
        <f t="shared" si="76"/>
        <v>321</v>
      </c>
      <c r="AA339" s="70">
        <f t="shared" si="73"/>
        <v>0.80249999999999999</v>
      </c>
      <c r="AB339" s="28"/>
      <c r="AC339" s="28"/>
    </row>
    <row r="340" spans="2:32" ht="53.25" customHeight="1" outlineLevel="1" x14ac:dyDescent="0.2">
      <c r="B340" s="49"/>
      <c r="C340" s="344"/>
      <c r="D340" s="344"/>
      <c r="E340" s="344"/>
      <c r="F340" s="164"/>
      <c r="G340" s="66" t="s">
        <v>178</v>
      </c>
      <c r="H340" s="19" t="s">
        <v>51</v>
      </c>
      <c r="I340" s="67">
        <v>2196</v>
      </c>
      <c r="J340" s="265">
        <v>2665</v>
      </c>
      <c r="K340" s="68">
        <v>368</v>
      </c>
      <c r="L340" s="68">
        <v>8</v>
      </c>
      <c r="M340" s="113" t="s">
        <v>211</v>
      </c>
      <c r="N340" s="68">
        <v>3</v>
      </c>
      <c r="O340" s="43">
        <f t="shared" si="74"/>
        <v>379</v>
      </c>
      <c r="P340" s="43">
        <v>18</v>
      </c>
      <c r="Q340" s="43">
        <v>3</v>
      </c>
      <c r="R340" s="43">
        <v>5</v>
      </c>
      <c r="S340" s="113" t="s">
        <v>211</v>
      </c>
      <c r="T340" s="43">
        <f t="shared" si="72"/>
        <v>26</v>
      </c>
      <c r="U340" s="43"/>
      <c r="V340" s="43"/>
      <c r="W340" s="43"/>
      <c r="X340" s="43"/>
      <c r="Y340" s="43">
        <f t="shared" si="75"/>
        <v>0</v>
      </c>
      <c r="Z340" s="43">
        <f t="shared" si="76"/>
        <v>405</v>
      </c>
      <c r="AA340" s="70">
        <f t="shared" si="73"/>
        <v>0.15196998123827393</v>
      </c>
      <c r="AB340" s="67"/>
      <c r="AC340" s="67"/>
      <c r="AD340" s="63">
        <f>390+370+390+250</f>
        <v>1400</v>
      </c>
      <c r="AF340" s="232"/>
    </row>
    <row r="341" spans="2:32" ht="57" customHeight="1" x14ac:dyDescent="0.2">
      <c r="B341" s="49"/>
      <c r="C341" s="332"/>
      <c r="D341" s="333"/>
      <c r="E341" s="334"/>
      <c r="F341" s="66" t="s">
        <v>331</v>
      </c>
      <c r="G341" s="295"/>
      <c r="H341" s="19" t="s">
        <v>23</v>
      </c>
      <c r="I341" s="10">
        <v>8451</v>
      </c>
      <c r="J341" s="283">
        <v>7359</v>
      </c>
      <c r="K341" s="69">
        <v>317</v>
      </c>
      <c r="L341" s="69">
        <v>523</v>
      </c>
      <c r="M341" s="69">
        <v>438</v>
      </c>
      <c r="N341" s="69">
        <v>390</v>
      </c>
      <c r="O341" s="161">
        <f t="shared" si="74"/>
        <v>1668</v>
      </c>
      <c r="P341" s="161">
        <v>551</v>
      </c>
      <c r="Q341" s="297">
        <v>559</v>
      </c>
      <c r="R341" s="300">
        <v>999</v>
      </c>
      <c r="S341" s="161">
        <v>1288</v>
      </c>
      <c r="T341" s="161">
        <f t="shared" si="72"/>
        <v>3397</v>
      </c>
      <c r="U341" s="161"/>
      <c r="V341" s="161"/>
      <c r="W341" s="161"/>
      <c r="X341" s="161"/>
      <c r="Y341" s="161">
        <f t="shared" si="75"/>
        <v>0</v>
      </c>
      <c r="Z341" s="161">
        <f t="shared" si="76"/>
        <v>5065</v>
      </c>
      <c r="AA341" s="42">
        <f t="shared" si="73"/>
        <v>0.68827286316075553</v>
      </c>
      <c r="AB341" s="67"/>
      <c r="AC341" s="67"/>
    </row>
    <row r="342" spans="2:32" ht="45.75" customHeight="1" x14ac:dyDescent="0.2">
      <c r="B342" s="49"/>
      <c r="C342" s="164"/>
      <c r="D342" s="165"/>
      <c r="E342" s="166"/>
      <c r="F342" s="66"/>
      <c r="G342" s="66" t="s">
        <v>324</v>
      </c>
      <c r="H342" s="19" t="s">
        <v>24</v>
      </c>
      <c r="I342" s="67">
        <v>3925</v>
      </c>
      <c r="J342" s="284">
        <v>3925</v>
      </c>
      <c r="K342" s="68">
        <v>229</v>
      </c>
      <c r="L342" s="68">
        <v>388</v>
      </c>
      <c r="M342" s="68">
        <v>363</v>
      </c>
      <c r="N342" s="68">
        <v>257</v>
      </c>
      <c r="O342" s="43">
        <f t="shared" si="74"/>
        <v>1237</v>
      </c>
      <c r="P342" s="43">
        <v>463</v>
      </c>
      <c r="Q342" s="43">
        <v>428</v>
      </c>
      <c r="R342" s="43">
        <v>946</v>
      </c>
      <c r="S342" s="43">
        <v>1219</v>
      </c>
      <c r="T342" s="43">
        <f t="shared" si="72"/>
        <v>3056</v>
      </c>
      <c r="U342" s="43"/>
      <c r="V342" s="43"/>
      <c r="W342" s="43"/>
      <c r="X342" s="43"/>
      <c r="Y342" s="43"/>
      <c r="Z342" s="43">
        <v>3925</v>
      </c>
      <c r="AA342" s="296">
        <f t="shared" si="73"/>
        <v>1</v>
      </c>
      <c r="AB342" s="67"/>
      <c r="AC342" s="67"/>
    </row>
    <row r="343" spans="2:32" ht="36.75" customHeight="1" x14ac:dyDescent="0.2">
      <c r="B343" s="49"/>
      <c r="C343" s="164"/>
      <c r="D343" s="165"/>
      <c r="E343" s="166"/>
      <c r="F343" s="66"/>
      <c r="G343" s="66" t="s">
        <v>325</v>
      </c>
      <c r="H343" s="19" t="s">
        <v>24</v>
      </c>
      <c r="I343" s="67">
        <v>4526</v>
      </c>
      <c r="J343" s="284">
        <v>3434</v>
      </c>
      <c r="K343" s="68">
        <v>88</v>
      </c>
      <c r="L343" s="68">
        <v>135</v>
      </c>
      <c r="M343" s="68">
        <v>75</v>
      </c>
      <c r="N343" s="68">
        <v>133</v>
      </c>
      <c r="O343" s="43">
        <f t="shared" si="74"/>
        <v>431</v>
      </c>
      <c r="P343" s="43">
        <v>88</v>
      </c>
      <c r="Q343" s="43">
        <v>131</v>
      </c>
      <c r="R343" s="43">
        <v>53</v>
      </c>
      <c r="S343" s="43">
        <v>69</v>
      </c>
      <c r="T343" s="43">
        <f>SUM(P343+Q343+R343+S343)</f>
        <v>341</v>
      </c>
      <c r="U343" s="43"/>
      <c r="V343" s="43"/>
      <c r="W343" s="43"/>
      <c r="X343" s="43"/>
      <c r="Y343" s="43"/>
      <c r="Z343" s="43">
        <f>SUM(O343+T343)</f>
        <v>772</v>
      </c>
      <c r="AA343" s="70">
        <f t="shared" si="73"/>
        <v>0.22481071636575423</v>
      </c>
      <c r="AB343" s="67"/>
      <c r="AC343" s="67"/>
    </row>
    <row r="344" spans="2:32" ht="51" x14ac:dyDescent="0.2">
      <c r="B344" s="49"/>
      <c r="C344" s="164"/>
      <c r="D344" s="165"/>
      <c r="E344" s="166"/>
      <c r="F344" s="60" t="s">
        <v>332</v>
      </c>
      <c r="G344" s="51"/>
      <c r="H344" s="19" t="s">
        <v>23</v>
      </c>
      <c r="I344" s="10">
        <v>3174</v>
      </c>
      <c r="J344" s="283">
        <v>6281</v>
      </c>
      <c r="K344" s="114" t="s">
        <v>211</v>
      </c>
      <c r="L344" s="69">
        <v>411</v>
      </c>
      <c r="M344" s="69">
        <v>473</v>
      </c>
      <c r="N344" s="69">
        <v>128</v>
      </c>
      <c r="O344" s="114" t="s">
        <v>385</v>
      </c>
      <c r="P344" s="114">
        <v>551</v>
      </c>
      <c r="Q344" s="297">
        <v>40</v>
      </c>
      <c r="R344" s="300">
        <v>421</v>
      </c>
      <c r="S344" s="114" t="s">
        <v>423</v>
      </c>
      <c r="T344" s="114">
        <f t="shared" si="72"/>
        <v>1550</v>
      </c>
      <c r="U344" s="114"/>
      <c r="V344" s="114"/>
      <c r="W344" s="114"/>
      <c r="X344" s="114"/>
      <c r="Y344" s="114"/>
      <c r="Z344" s="114">
        <f>SUM(O344+T344)</f>
        <v>2562</v>
      </c>
      <c r="AA344" s="42">
        <f t="shared" si="73"/>
        <v>0.4078968317146951</v>
      </c>
      <c r="AB344" s="67"/>
      <c r="AC344" s="67"/>
    </row>
    <row r="345" spans="2:32" ht="76.5" x14ac:dyDescent="0.2">
      <c r="B345" s="49"/>
      <c r="C345" s="418"/>
      <c r="D345" s="419"/>
      <c r="E345" s="420"/>
      <c r="F345" s="160"/>
      <c r="G345" s="29" t="s">
        <v>82</v>
      </c>
      <c r="H345" s="19" t="s">
        <v>29</v>
      </c>
      <c r="I345" s="67">
        <v>14800</v>
      </c>
      <c r="J345" s="284">
        <v>13767</v>
      </c>
      <c r="K345" s="68">
        <v>1516</v>
      </c>
      <c r="L345" s="68">
        <v>1465</v>
      </c>
      <c r="M345" s="68">
        <v>1121</v>
      </c>
      <c r="N345" s="68">
        <v>931</v>
      </c>
      <c r="O345" s="43">
        <f>SUM(K345:N345)</f>
        <v>5033</v>
      </c>
      <c r="P345" s="43">
        <v>1307</v>
      </c>
      <c r="Q345" s="43">
        <v>1374</v>
      </c>
      <c r="R345" s="43">
        <v>1000</v>
      </c>
      <c r="S345" s="43">
        <v>1493</v>
      </c>
      <c r="T345" s="43">
        <f t="shared" si="72"/>
        <v>5174</v>
      </c>
      <c r="U345" s="43"/>
      <c r="V345" s="43"/>
      <c r="W345" s="43"/>
      <c r="X345" s="43"/>
      <c r="Y345" s="43"/>
      <c r="Z345" s="43">
        <f>SUM(O345+T345+Y345)</f>
        <v>10207</v>
      </c>
      <c r="AA345" s="70">
        <f t="shared" si="73"/>
        <v>0.74141061959758847</v>
      </c>
      <c r="AB345" s="67"/>
      <c r="AC345" s="67"/>
    </row>
    <row r="346" spans="2:32" ht="55.5" customHeight="1" x14ac:dyDescent="0.2">
      <c r="B346" s="49"/>
      <c r="C346" s="418"/>
      <c r="D346" s="419"/>
      <c r="E346" s="420"/>
      <c r="F346" s="160"/>
      <c r="G346" s="16" t="s">
        <v>326</v>
      </c>
      <c r="H346" s="19" t="s">
        <v>27</v>
      </c>
      <c r="I346" s="67">
        <v>750</v>
      </c>
      <c r="J346" s="132">
        <v>750</v>
      </c>
      <c r="K346" s="68">
        <v>11</v>
      </c>
      <c r="L346" s="68">
        <v>42</v>
      </c>
      <c r="M346" s="68">
        <v>61</v>
      </c>
      <c r="N346" s="68">
        <v>38</v>
      </c>
      <c r="O346" s="43">
        <f>SUM(K346:N346)</f>
        <v>152</v>
      </c>
      <c r="P346" s="43">
        <v>40</v>
      </c>
      <c r="Q346" s="43">
        <v>45</v>
      </c>
      <c r="R346" s="43">
        <v>45</v>
      </c>
      <c r="S346" s="43">
        <v>8</v>
      </c>
      <c r="T346" s="43">
        <f t="shared" si="72"/>
        <v>138</v>
      </c>
      <c r="U346" s="43"/>
      <c r="V346" s="43"/>
      <c r="W346" s="43"/>
      <c r="X346" s="43"/>
      <c r="Y346" s="43"/>
      <c r="Z346" s="43">
        <f>SUM(O346+T346+Y346)</f>
        <v>290</v>
      </c>
      <c r="AA346" s="70">
        <f t="shared" si="73"/>
        <v>0.38666666666666666</v>
      </c>
      <c r="AB346" s="67"/>
      <c r="AC346" s="67"/>
    </row>
    <row r="347" spans="2:32" ht="25.5" x14ac:dyDescent="0.2">
      <c r="B347" s="49"/>
      <c r="C347" s="418"/>
      <c r="D347" s="419"/>
      <c r="E347" s="420"/>
      <c r="F347" s="160"/>
      <c r="G347" s="16" t="s">
        <v>327</v>
      </c>
      <c r="H347" s="19" t="s">
        <v>27</v>
      </c>
      <c r="I347" s="67">
        <v>1</v>
      </c>
      <c r="J347" s="43">
        <v>1</v>
      </c>
      <c r="K347" s="113" t="s">
        <v>211</v>
      </c>
      <c r="L347" s="113" t="s">
        <v>211</v>
      </c>
      <c r="M347" s="113" t="s">
        <v>211</v>
      </c>
      <c r="N347" s="113" t="s">
        <v>211</v>
      </c>
      <c r="O347" s="113" t="s">
        <v>211</v>
      </c>
      <c r="P347" s="113" t="s">
        <v>211</v>
      </c>
      <c r="Q347" s="113" t="s">
        <v>211</v>
      </c>
      <c r="R347" s="43">
        <v>1</v>
      </c>
      <c r="S347" s="113" t="s">
        <v>211</v>
      </c>
      <c r="T347" s="113">
        <f t="shared" si="72"/>
        <v>1</v>
      </c>
      <c r="U347" s="113" t="s">
        <v>211</v>
      </c>
      <c r="V347" s="113" t="s">
        <v>211</v>
      </c>
      <c r="W347" s="113" t="s">
        <v>211</v>
      </c>
      <c r="X347" s="113" t="s">
        <v>211</v>
      </c>
      <c r="Y347" s="113" t="s">
        <v>211</v>
      </c>
      <c r="Z347" s="113" t="s">
        <v>353</v>
      </c>
      <c r="AA347" s="296">
        <f t="shared" si="73"/>
        <v>1</v>
      </c>
      <c r="AB347" s="17"/>
      <c r="AC347" s="17"/>
    </row>
    <row r="348" spans="2:32" ht="51" x14ac:dyDescent="0.2">
      <c r="B348" s="49"/>
      <c r="C348" s="418"/>
      <c r="D348" s="419"/>
      <c r="E348" s="420"/>
      <c r="F348" s="160"/>
      <c r="G348" s="16" t="s">
        <v>328</v>
      </c>
      <c r="H348" s="19" t="s">
        <v>27</v>
      </c>
      <c r="I348" s="67">
        <v>1200</v>
      </c>
      <c r="J348" s="43">
        <v>1200</v>
      </c>
      <c r="K348" s="68">
        <v>109</v>
      </c>
      <c r="L348" s="68">
        <v>124</v>
      </c>
      <c r="M348" s="68">
        <v>85</v>
      </c>
      <c r="N348" s="68">
        <v>112</v>
      </c>
      <c r="O348" s="43">
        <f>SUM(K348:N348)</f>
        <v>430</v>
      </c>
      <c r="P348" s="43">
        <v>90</v>
      </c>
      <c r="Q348" s="43">
        <v>130</v>
      </c>
      <c r="R348" s="43">
        <v>138</v>
      </c>
      <c r="S348" s="43">
        <v>123</v>
      </c>
      <c r="T348" s="43">
        <f t="shared" si="72"/>
        <v>481</v>
      </c>
      <c r="U348" s="43"/>
      <c r="V348" s="43"/>
      <c r="W348" s="43"/>
      <c r="X348" s="43"/>
      <c r="Y348" s="43">
        <f>SUM(U348:X348)</f>
        <v>0</v>
      </c>
      <c r="Z348" s="43">
        <f>SUM(O348+T348+Y348)</f>
        <v>911</v>
      </c>
      <c r="AA348" s="70">
        <f t="shared" si="73"/>
        <v>0.75916666666666666</v>
      </c>
      <c r="AB348" s="17"/>
      <c r="AC348" s="17"/>
    </row>
    <row r="349" spans="2:32" ht="25.5" x14ac:dyDescent="0.2">
      <c r="B349" s="49"/>
      <c r="C349" s="418"/>
      <c r="D349" s="419"/>
      <c r="E349" s="420"/>
      <c r="F349" s="160"/>
      <c r="G349" s="16" t="s">
        <v>83</v>
      </c>
      <c r="H349" s="19" t="s">
        <v>19</v>
      </c>
      <c r="I349" s="67">
        <v>950</v>
      </c>
      <c r="J349" s="43">
        <v>950</v>
      </c>
      <c r="K349" s="68">
        <v>111</v>
      </c>
      <c r="L349" s="68">
        <v>224</v>
      </c>
      <c r="M349" s="68">
        <v>290</v>
      </c>
      <c r="N349" s="68">
        <v>304</v>
      </c>
      <c r="O349" s="43">
        <f>SUM(K349:N349)</f>
        <v>929</v>
      </c>
      <c r="P349" s="43">
        <v>364</v>
      </c>
      <c r="Q349" s="43">
        <v>378</v>
      </c>
      <c r="R349" s="43">
        <v>286</v>
      </c>
      <c r="S349" s="43">
        <v>233</v>
      </c>
      <c r="T349" s="43">
        <f t="shared" si="72"/>
        <v>1261</v>
      </c>
      <c r="U349" s="43"/>
      <c r="V349" s="43"/>
      <c r="W349" s="43"/>
      <c r="X349" s="43"/>
      <c r="Y349" s="43">
        <f>SUM(U349:X349)</f>
        <v>0</v>
      </c>
      <c r="Z349" s="43">
        <v>950</v>
      </c>
      <c r="AA349" s="296">
        <f t="shared" si="73"/>
        <v>1</v>
      </c>
      <c r="AB349" s="17"/>
      <c r="AC349" s="17"/>
    </row>
    <row r="350" spans="2:32" ht="38.25" x14ac:dyDescent="0.2">
      <c r="B350" s="49"/>
      <c r="C350" s="344"/>
      <c r="D350" s="344"/>
      <c r="E350" s="344"/>
      <c r="F350" s="160"/>
      <c r="G350" s="16" t="s">
        <v>84</v>
      </c>
      <c r="H350" s="19" t="s">
        <v>25</v>
      </c>
      <c r="I350" s="67">
        <v>110347</v>
      </c>
      <c r="J350" s="43">
        <v>110347</v>
      </c>
      <c r="K350" s="68">
        <v>3861</v>
      </c>
      <c r="L350" s="68">
        <v>8605</v>
      </c>
      <c r="M350" s="68">
        <v>18760</v>
      </c>
      <c r="N350" s="68">
        <v>6361</v>
      </c>
      <c r="O350" s="43">
        <f>SUM(K350:N350)</f>
        <v>37587</v>
      </c>
      <c r="P350" s="43">
        <v>15567</v>
      </c>
      <c r="Q350" s="43">
        <v>10836</v>
      </c>
      <c r="R350" s="43">
        <v>6718</v>
      </c>
      <c r="S350" s="43">
        <v>30569</v>
      </c>
      <c r="T350" s="43">
        <f t="shared" si="72"/>
        <v>63690</v>
      </c>
      <c r="U350" s="43"/>
      <c r="V350" s="43"/>
      <c r="W350" s="43"/>
      <c r="X350" s="43"/>
      <c r="Y350" s="43">
        <f>SUM(U350:X350)</f>
        <v>0</v>
      </c>
      <c r="Z350" s="43">
        <f>SUM(O350+T350+Y350)</f>
        <v>101277</v>
      </c>
      <c r="AA350" s="70">
        <f t="shared" si="73"/>
        <v>0.91780474321911787</v>
      </c>
      <c r="AB350" s="17"/>
      <c r="AC350" s="28"/>
    </row>
    <row r="351" spans="2:32" s="188" customFormat="1" ht="30" customHeight="1" x14ac:dyDescent="0.2">
      <c r="B351" s="432" t="s">
        <v>102</v>
      </c>
      <c r="C351" s="432"/>
      <c r="D351" s="432"/>
      <c r="E351" s="432"/>
      <c r="F351" s="421" t="s">
        <v>137</v>
      </c>
      <c r="G351" s="421"/>
      <c r="H351" s="421"/>
      <c r="I351" s="421"/>
      <c r="J351" s="421"/>
      <c r="K351" s="421"/>
      <c r="L351" s="421"/>
      <c r="M351" s="421"/>
      <c r="N351" s="421"/>
      <c r="O351" s="421"/>
      <c r="P351" s="421"/>
      <c r="Q351" s="421"/>
      <c r="R351" s="421"/>
      <c r="S351" s="421"/>
      <c r="T351" s="421"/>
      <c r="U351" s="421"/>
      <c r="V351" s="421"/>
      <c r="W351" s="421"/>
      <c r="X351" s="421"/>
      <c r="Y351" s="421"/>
      <c r="Z351" s="421"/>
      <c r="AA351" s="421"/>
      <c r="AB351" s="421"/>
      <c r="AC351" s="421"/>
      <c r="AF351" s="234"/>
    </row>
    <row r="352" spans="2:32" s="188" customFormat="1" ht="16.5" customHeight="1" x14ac:dyDescent="0.2">
      <c r="B352" s="422" t="s">
        <v>103</v>
      </c>
      <c r="C352" s="422"/>
      <c r="D352" s="422"/>
      <c r="E352" s="422"/>
      <c r="F352" s="427" t="s">
        <v>138</v>
      </c>
      <c r="G352" s="427"/>
      <c r="H352" s="427"/>
      <c r="I352" s="427"/>
      <c r="J352" s="427"/>
      <c r="K352" s="427"/>
      <c r="L352" s="427"/>
      <c r="M352" s="427"/>
      <c r="N352" s="427"/>
      <c r="O352" s="427"/>
      <c r="P352" s="427"/>
      <c r="Q352" s="427"/>
      <c r="R352" s="427"/>
      <c r="S352" s="427"/>
      <c r="T352" s="427"/>
      <c r="U352" s="427"/>
      <c r="V352" s="427"/>
      <c r="W352" s="427"/>
      <c r="X352" s="427"/>
      <c r="Y352" s="427"/>
      <c r="Z352" s="427"/>
      <c r="AA352" s="427"/>
      <c r="AB352" s="427"/>
      <c r="AC352" s="427"/>
      <c r="AF352" s="234"/>
    </row>
    <row r="353" spans="2:32" ht="56.25" customHeight="1" x14ac:dyDescent="0.2">
      <c r="B353" s="31">
        <v>2</v>
      </c>
      <c r="C353" s="364" t="s">
        <v>333</v>
      </c>
      <c r="D353" s="365"/>
      <c r="E353" s="366"/>
      <c r="F353" s="49"/>
      <c r="G353" s="49"/>
      <c r="H353" s="162" t="s">
        <v>28</v>
      </c>
      <c r="I353" s="10">
        <v>68572</v>
      </c>
      <c r="J353" s="247">
        <v>74215</v>
      </c>
      <c r="K353" s="10">
        <f>+K354+K355</f>
        <v>2451</v>
      </c>
      <c r="L353" s="10">
        <f>+L354+L355</f>
        <v>6720</v>
      </c>
      <c r="M353" s="10">
        <f>+M354+M355</f>
        <v>5505</v>
      </c>
      <c r="N353" s="10">
        <f>+N354+N355</f>
        <v>4898</v>
      </c>
      <c r="O353" s="161">
        <f>SUM(K353:N353)</f>
        <v>19574</v>
      </c>
      <c r="P353" s="10">
        <f>+P354+P355</f>
        <v>5285</v>
      </c>
      <c r="Q353" s="10">
        <f>+Q354+Q355</f>
        <v>7004</v>
      </c>
      <c r="R353" s="10">
        <f>+R354+R355</f>
        <v>5681</v>
      </c>
      <c r="S353" s="10">
        <f>+S354+S355</f>
        <v>6134</v>
      </c>
      <c r="T353" s="161">
        <f t="shared" ref="T353:T355" si="77">SUM(P353+Q353+R353+S353)</f>
        <v>24104</v>
      </c>
      <c r="U353" s="10"/>
      <c r="V353" s="10"/>
      <c r="W353" s="10"/>
      <c r="X353" s="10"/>
      <c r="Y353" s="161">
        <f>SUM(U353:X353)</f>
        <v>0</v>
      </c>
      <c r="Z353" s="161">
        <f>SUM(O353+T353+Y353)</f>
        <v>43678</v>
      </c>
      <c r="AA353" s="42">
        <f>SUM(Z353/J353)</f>
        <v>0.5885333153675133</v>
      </c>
      <c r="AB353" s="3">
        <v>16556228</v>
      </c>
      <c r="AC353" s="270" t="s">
        <v>403</v>
      </c>
      <c r="AD353" s="63">
        <f>2435+2825+1820+1020</f>
        <v>8100</v>
      </c>
      <c r="AE353" s="232"/>
    </row>
    <row r="354" spans="2:32" ht="51" outlineLevel="1" x14ac:dyDescent="0.2">
      <c r="B354" s="49"/>
      <c r="C354" s="343"/>
      <c r="D354" s="344"/>
      <c r="E354" s="344"/>
      <c r="F354" s="66" t="s">
        <v>85</v>
      </c>
      <c r="G354" s="51"/>
      <c r="H354" s="19" t="s">
        <v>28</v>
      </c>
      <c r="I354" s="10">
        <v>67234</v>
      </c>
      <c r="J354" s="247">
        <v>72790</v>
      </c>
      <c r="K354" s="69">
        <v>2428</v>
      </c>
      <c r="L354" s="69">
        <v>6626</v>
      </c>
      <c r="M354" s="69">
        <v>5463</v>
      </c>
      <c r="N354" s="69">
        <v>4801</v>
      </c>
      <c r="O354" s="161">
        <f>SUM(K354:N354)</f>
        <v>19318</v>
      </c>
      <c r="P354" s="292">
        <v>5222</v>
      </c>
      <c r="Q354" s="297">
        <v>6899</v>
      </c>
      <c r="R354" s="300">
        <v>5598</v>
      </c>
      <c r="S354" s="161">
        <v>6031</v>
      </c>
      <c r="T354" s="161">
        <f t="shared" si="77"/>
        <v>23750</v>
      </c>
      <c r="U354" s="161"/>
      <c r="V354" s="161"/>
      <c r="W354" s="161"/>
      <c r="X354" s="161"/>
      <c r="Y354" s="161">
        <f>SUM(U354:X354)</f>
        <v>0</v>
      </c>
      <c r="Z354" s="161">
        <f>SUM(O354+T354+Y354)</f>
        <v>43068</v>
      </c>
      <c r="AA354" s="42">
        <f>SUM(Z354/J354)</f>
        <v>0.59167468058799288</v>
      </c>
      <c r="AB354" s="67"/>
      <c r="AC354" s="67"/>
      <c r="AD354" s="64">
        <f>2400+2800+1800+1000</f>
        <v>8000</v>
      </c>
      <c r="AE354" s="232"/>
    </row>
    <row r="355" spans="2:32" ht="63.75" outlineLevel="1" x14ac:dyDescent="0.2">
      <c r="B355" s="49"/>
      <c r="C355" s="344"/>
      <c r="D355" s="344"/>
      <c r="E355" s="344"/>
      <c r="F355" s="66" t="s">
        <v>334</v>
      </c>
      <c r="G355" s="51"/>
      <c r="H355" s="19" t="s">
        <v>28</v>
      </c>
      <c r="I355" s="10">
        <v>1338</v>
      </c>
      <c r="J355" s="247">
        <v>1425</v>
      </c>
      <c r="K355" s="69">
        <v>23</v>
      </c>
      <c r="L355" s="69">
        <v>94</v>
      </c>
      <c r="M355" s="69">
        <v>42</v>
      </c>
      <c r="N355" s="69">
        <v>97</v>
      </c>
      <c r="O355" s="161">
        <f>SUM(K355:N355)</f>
        <v>256</v>
      </c>
      <c r="P355" s="292">
        <v>63</v>
      </c>
      <c r="Q355" s="297">
        <v>105</v>
      </c>
      <c r="R355" s="300">
        <v>83</v>
      </c>
      <c r="S355" s="161">
        <v>103</v>
      </c>
      <c r="T355" s="161">
        <f t="shared" si="77"/>
        <v>354</v>
      </c>
      <c r="U355" s="161"/>
      <c r="V355" s="161"/>
      <c r="W355" s="138"/>
      <c r="X355" s="161"/>
      <c r="Y355" s="161">
        <f>SUM(U355:X355)</f>
        <v>0</v>
      </c>
      <c r="Z355" s="161">
        <f>SUM(O355+T355+Y355)</f>
        <v>610</v>
      </c>
      <c r="AA355" s="42">
        <f>SUM(Z355/J355)</f>
        <v>0.42807017543859649</v>
      </c>
      <c r="AB355" s="67"/>
      <c r="AC355" s="67"/>
      <c r="AD355" s="63">
        <f>35+25+20+20</f>
        <v>100</v>
      </c>
      <c r="AE355" s="232"/>
    </row>
    <row r="356" spans="2:32" ht="21" customHeight="1" x14ac:dyDescent="0.2">
      <c r="B356" s="363" t="s">
        <v>86</v>
      </c>
      <c r="C356" s="363"/>
      <c r="D356" s="363"/>
      <c r="E356" s="363"/>
      <c r="F356" s="363"/>
      <c r="G356" s="363"/>
      <c r="H356" s="363"/>
      <c r="I356" s="363"/>
      <c r="J356" s="363"/>
      <c r="K356" s="363"/>
      <c r="L356" s="363"/>
      <c r="M356" s="363"/>
      <c r="N356" s="363"/>
      <c r="O356" s="363"/>
      <c r="P356" s="363"/>
      <c r="Q356" s="363"/>
      <c r="R356" s="363"/>
      <c r="S356" s="363"/>
      <c r="T356" s="363"/>
      <c r="U356" s="363"/>
      <c r="V356" s="363"/>
      <c r="W356" s="363"/>
      <c r="X356" s="363"/>
      <c r="Y356" s="363"/>
      <c r="Z356" s="363"/>
      <c r="AA356" s="363"/>
      <c r="AB356" s="363"/>
      <c r="AC356" s="101"/>
    </row>
    <row r="357" spans="2:32" ht="22.5" customHeight="1" x14ac:dyDescent="0.2">
      <c r="B357" s="223"/>
      <c r="C357" s="224"/>
      <c r="D357" s="224"/>
      <c r="E357" s="224"/>
      <c r="F357" s="224"/>
      <c r="G357" s="224"/>
      <c r="H357" s="224"/>
      <c r="I357" s="338" t="s">
        <v>359</v>
      </c>
      <c r="J357" s="338"/>
      <c r="K357" s="338"/>
      <c r="L357" s="338"/>
      <c r="M357" s="338"/>
      <c r="N357" s="338"/>
      <c r="O357" s="338"/>
      <c r="P357" s="338"/>
      <c r="Q357" s="338"/>
      <c r="R357" s="338"/>
      <c r="S357" s="338"/>
      <c r="T357" s="338"/>
      <c r="U357" s="338"/>
      <c r="V357" s="338"/>
      <c r="W357" s="338"/>
      <c r="X357" s="338"/>
      <c r="Y357" s="338"/>
      <c r="Z357" s="338"/>
      <c r="AA357" s="338"/>
      <c r="AB357" s="338"/>
      <c r="AC357" s="339"/>
      <c r="AD357" s="223" t="s">
        <v>235</v>
      </c>
    </row>
    <row r="358" spans="2:32" ht="62.25" customHeight="1" x14ac:dyDescent="0.2">
      <c r="B358" s="191" t="s">
        <v>139</v>
      </c>
      <c r="C358" s="415" t="s">
        <v>94</v>
      </c>
      <c r="D358" s="416"/>
      <c r="E358" s="417"/>
      <c r="F358" s="192" t="s">
        <v>95</v>
      </c>
      <c r="G358" s="193" t="s">
        <v>4</v>
      </c>
      <c r="H358" s="194" t="s">
        <v>3</v>
      </c>
      <c r="I358" s="195" t="s">
        <v>96</v>
      </c>
      <c r="J358" s="195" t="s">
        <v>150</v>
      </c>
      <c r="K358" s="85" t="s">
        <v>5</v>
      </c>
      <c r="L358" s="85" t="s">
        <v>6</v>
      </c>
      <c r="M358" s="85" t="s">
        <v>7</v>
      </c>
      <c r="N358" s="85" t="s">
        <v>8</v>
      </c>
      <c r="O358" s="86" t="s">
        <v>157</v>
      </c>
      <c r="P358" s="87" t="s">
        <v>9</v>
      </c>
      <c r="Q358" s="87" t="s">
        <v>10</v>
      </c>
      <c r="R358" s="87" t="s">
        <v>11</v>
      </c>
      <c r="S358" s="87" t="s">
        <v>12</v>
      </c>
      <c r="T358" s="86" t="s">
        <v>158</v>
      </c>
      <c r="U358" s="87" t="s">
        <v>13</v>
      </c>
      <c r="V358" s="87" t="s">
        <v>14</v>
      </c>
      <c r="W358" s="87" t="s">
        <v>15</v>
      </c>
      <c r="X358" s="87" t="s">
        <v>16</v>
      </c>
      <c r="Y358" s="86" t="s">
        <v>159</v>
      </c>
      <c r="Z358" s="196" t="s">
        <v>97</v>
      </c>
      <c r="AA358" s="196" t="s">
        <v>98</v>
      </c>
      <c r="AB358" s="197" t="s">
        <v>236</v>
      </c>
      <c r="AC358" s="196" t="s">
        <v>99</v>
      </c>
    </row>
    <row r="359" spans="2:32" ht="36" customHeight="1" x14ac:dyDescent="0.2">
      <c r="B359" s="423" t="s">
        <v>17</v>
      </c>
      <c r="C359" s="424"/>
      <c r="D359" s="424"/>
      <c r="E359" s="424"/>
      <c r="F359" s="424"/>
      <c r="G359" s="424"/>
      <c r="H359" s="425"/>
      <c r="I359" s="56">
        <f>+I360+I362</f>
        <v>17</v>
      </c>
      <c r="J359" s="56">
        <v>16</v>
      </c>
      <c r="K359" s="187" t="s">
        <v>211</v>
      </c>
      <c r="L359" s="187" t="s">
        <v>211</v>
      </c>
      <c r="M359" s="187" t="s">
        <v>211</v>
      </c>
      <c r="N359" s="56" t="s">
        <v>211</v>
      </c>
      <c r="O359" s="187" t="s">
        <v>211</v>
      </c>
      <c r="P359" s="187" t="s">
        <v>211</v>
      </c>
      <c r="Q359" s="187" t="s">
        <v>211</v>
      </c>
      <c r="R359" s="56" t="s">
        <v>211</v>
      </c>
      <c r="S359" s="56" t="s">
        <v>211</v>
      </c>
      <c r="T359" s="187" t="s">
        <v>211</v>
      </c>
      <c r="U359" s="187" t="s">
        <v>211</v>
      </c>
      <c r="V359" s="187" t="s">
        <v>211</v>
      </c>
      <c r="W359" s="187" t="s">
        <v>211</v>
      </c>
      <c r="X359" s="187" t="s">
        <v>211</v>
      </c>
      <c r="Y359" s="187" t="s">
        <v>211</v>
      </c>
      <c r="Z359" s="187" t="s">
        <v>211</v>
      </c>
      <c r="AA359" s="187" t="s">
        <v>211</v>
      </c>
      <c r="AB359" s="105">
        <f>+AB360+AB362</f>
        <v>115265209</v>
      </c>
      <c r="AC359" s="126" t="s">
        <v>462</v>
      </c>
    </row>
    <row r="360" spans="2:32" ht="41.25" customHeight="1" x14ac:dyDescent="0.2">
      <c r="B360" s="31">
        <v>1</v>
      </c>
      <c r="C360" s="364" t="s">
        <v>87</v>
      </c>
      <c r="D360" s="365"/>
      <c r="E360" s="366"/>
      <c r="F360" s="49"/>
      <c r="G360" s="208"/>
      <c r="H360" s="30" t="s">
        <v>25</v>
      </c>
      <c r="I360" s="10">
        <v>16</v>
      </c>
      <c r="J360" s="247">
        <v>15</v>
      </c>
      <c r="K360" s="138" t="s">
        <v>211</v>
      </c>
      <c r="L360" s="138" t="s">
        <v>211</v>
      </c>
      <c r="M360" s="138" t="s">
        <v>211</v>
      </c>
      <c r="N360" s="140" t="s">
        <v>211</v>
      </c>
      <c r="O360" s="138" t="s">
        <v>211</v>
      </c>
      <c r="P360" s="138" t="s">
        <v>211</v>
      </c>
      <c r="Q360" s="138" t="s">
        <v>211</v>
      </c>
      <c r="R360" s="138" t="s">
        <v>211</v>
      </c>
      <c r="S360" s="138" t="s">
        <v>211</v>
      </c>
      <c r="T360" s="138" t="s">
        <v>211</v>
      </c>
      <c r="U360" s="138" t="s">
        <v>211</v>
      </c>
      <c r="V360" s="138" t="s">
        <v>211</v>
      </c>
      <c r="W360" s="138" t="s">
        <v>211</v>
      </c>
      <c r="X360" s="138" t="s">
        <v>211</v>
      </c>
      <c r="Y360" s="138" t="s">
        <v>211</v>
      </c>
      <c r="Z360" s="138" t="s">
        <v>211</v>
      </c>
      <c r="AA360" s="138" t="s">
        <v>211</v>
      </c>
      <c r="AB360" s="3">
        <v>114551209</v>
      </c>
      <c r="AC360" s="267" t="s">
        <v>442</v>
      </c>
      <c r="AD360" s="63">
        <f>SUM(AD361:AD363)</f>
        <v>0</v>
      </c>
    </row>
    <row r="361" spans="2:32" ht="42.75" customHeight="1" outlineLevel="1" x14ac:dyDescent="0.2">
      <c r="B361" s="49"/>
      <c r="C361" s="344"/>
      <c r="D361" s="344"/>
      <c r="E361" s="344"/>
      <c r="F361" s="118" t="s">
        <v>87</v>
      </c>
      <c r="G361" s="208"/>
      <c r="H361" s="20" t="s">
        <v>25</v>
      </c>
      <c r="I361" s="67">
        <v>16</v>
      </c>
      <c r="J361" s="248">
        <v>15</v>
      </c>
      <c r="K361" s="136" t="s">
        <v>211</v>
      </c>
      <c r="L361" s="136" t="s">
        <v>211</v>
      </c>
      <c r="M361" s="138" t="s">
        <v>211</v>
      </c>
      <c r="N361" s="141" t="s">
        <v>211</v>
      </c>
      <c r="O361" s="136" t="s">
        <v>211</v>
      </c>
      <c r="P361" s="136" t="s">
        <v>211</v>
      </c>
      <c r="Q361" s="136" t="s">
        <v>211</v>
      </c>
      <c r="R361" s="136" t="s">
        <v>211</v>
      </c>
      <c r="S361" s="136" t="s">
        <v>211</v>
      </c>
      <c r="T361" s="136" t="s">
        <v>211</v>
      </c>
      <c r="U361" s="136" t="s">
        <v>211</v>
      </c>
      <c r="V361" s="136" t="s">
        <v>211</v>
      </c>
      <c r="W361" s="136" t="s">
        <v>211</v>
      </c>
      <c r="X361" s="136" t="s">
        <v>211</v>
      </c>
      <c r="Y361" s="136" t="s">
        <v>211</v>
      </c>
      <c r="Z361" s="136" t="s">
        <v>211</v>
      </c>
      <c r="AA361" s="136" t="s">
        <v>211</v>
      </c>
      <c r="AB361" s="9"/>
      <c r="AC361" s="93"/>
    </row>
    <row r="362" spans="2:32" ht="41.25" customHeight="1" outlineLevel="1" x14ac:dyDescent="0.2">
      <c r="B362" s="31">
        <v>2</v>
      </c>
      <c r="C362" s="364" t="s">
        <v>88</v>
      </c>
      <c r="D362" s="365"/>
      <c r="E362" s="366"/>
      <c r="G362" s="208"/>
      <c r="H362" s="30" t="s">
        <v>25</v>
      </c>
      <c r="I362" s="10">
        <v>1</v>
      </c>
      <c r="J362" s="10">
        <v>1</v>
      </c>
      <c r="K362" s="138" t="s">
        <v>211</v>
      </c>
      <c r="L362" s="138" t="s">
        <v>211</v>
      </c>
      <c r="M362" s="138" t="s">
        <v>211</v>
      </c>
      <c r="N362" s="140" t="s">
        <v>211</v>
      </c>
      <c r="O362" s="138" t="s">
        <v>211</v>
      </c>
      <c r="P362" s="138" t="s">
        <v>211</v>
      </c>
      <c r="Q362" s="138" t="s">
        <v>211</v>
      </c>
      <c r="R362" s="138" t="s">
        <v>211</v>
      </c>
      <c r="S362" s="138" t="s">
        <v>211</v>
      </c>
      <c r="T362" s="138" t="s">
        <v>211</v>
      </c>
      <c r="U362" s="138" t="s">
        <v>211</v>
      </c>
      <c r="V362" s="138" t="s">
        <v>211</v>
      </c>
      <c r="W362" s="138" t="s">
        <v>211</v>
      </c>
      <c r="X362" s="138" t="s">
        <v>211</v>
      </c>
      <c r="Y362" s="138" t="s">
        <v>211</v>
      </c>
      <c r="Z362" s="138" t="s">
        <v>211</v>
      </c>
      <c r="AA362" s="138" t="s">
        <v>211</v>
      </c>
      <c r="AB362" s="3">
        <v>714000</v>
      </c>
      <c r="AC362" s="267" t="s">
        <v>443</v>
      </c>
      <c r="AD362" s="63">
        <f>SUM(AD363:AD363)</f>
        <v>0</v>
      </c>
    </row>
    <row r="363" spans="2:32" ht="34.5" customHeight="1" outlineLevel="1" x14ac:dyDescent="0.2">
      <c r="B363" s="38"/>
      <c r="C363" s="344"/>
      <c r="D363" s="344"/>
      <c r="E363" s="344"/>
      <c r="F363" s="118" t="s">
        <v>88</v>
      </c>
      <c r="G363" s="208"/>
      <c r="H363" s="20" t="s">
        <v>25</v>
      </c>
      <c r="I363" s="67">
        <v>1</v>
      </c>
      <c r="J363" s="67">
        <v>1</v>
      </c>
      <c r="K363" s="136" t="s">
        <v>211</v>
      </c>
      <c r="L363" s="136" t="s">
        <v>211</v>
      </c>
      <c r="M363" s="138" t="s">
        <v>211</v>
      </c>
      <c r="N363" s="141" t="s">
        <v>211</v>
      </c>
      <c r="O363" s="136" t="s">
        <v>211</v>
      </c>
      <c r="P363" s="136" t="s">
        <v>211</v>
      </c>
      <c r="Q363" s="136" t="s">
        <v>211</v>
      </c>
      <c r="R363" s="136" t="s">
        <v>211</v>
      </c>
      <c r="S363" s="136" t="s">
        <v>211</v>
      </c>
      <c r="T363" s="136" t="s">
        <v>211</v>
      </c>
      <c r="U363" s="136" t="s">
        <v>211</v>
      </c>
      <c r="V363" s="136" t="s">
        <v>211</v>
      </c>
      <c r="W363" s="136" t="s">
        <v>211</v>
      </c>
      <c r="X363" s="136" t="s">
        <v>211</v>
      </c>
      <c r="Y363" s="136" t="s">
        <v>211</v>
      </c>
      <c r="Z363" s="136" t="s">
        <v>211</v>
      </c>
      <c r="AA363" s="136" t="s">
        <v>211</v>
      </c>
      <c r="AB363" s="9"/>
      <c r="AC363" s="133"/>
    </row>
    <row r="364" spans="2:32" ht="33.75" customHeight="1" x14ac:dyDescent="0.2">
      <c r="B364" s="412" t="s">
        <v>179</v>
      </c>
      <c r="C364" s="413"/>
      <c r="D364" s="413"/>
      <c r="E364" s="413"/>
      <c r="F364" s="413"/>
      <c r="G364" s="413"/>
      <c r="H364" s="414"/>
      <c r="I364" s="108">
        <f>+I359+I331+I291+I234+I122+I33+I12</f>
        <v>432210</v>
      </c>
      <c r="J364" s="108">
        <v>504833</v>
      </c>
      <c r="K364" s="108">
        <f>+K359+K331+K291+K234+K122+K33+K12</f>
        <v>32618</v>
      </c>
      <c r="L364" s="108">
        <f>+L359+L331+L291+L234+L122+L33+L12</f>
        <v>42160</v>
      </c>
      <c r="M364" s="108">
        <f>+M359+M331+M291+M234+M122+M33+M12</f>
        <v>45185</v>
      </c>
      <c r="N364" s="108">
        <f>+N359+N331+N291+N234+N122+N33+N12</f>
        <v>35919</v>
      </c>
      <c r="O364" s="108">
        <f>SUM(K364:N364)</f>
        <v>155882</v>
      </c>
      <c r="P364" s="108">
        <f t="shared" ref="P364:Y364" si="78">+P359+P331+P291+P234+P122+P33+P12</f>
        <v>45786</v>
      </c>
      <c r="Q364" s="108">
        <f t="shared" si="78"/>
        <v>42014</v>
      </c>
      <c r="R364" s="108">
        <f t="shared" si="78"/>
        <v>44210</v>
      </c>
      <c r="S364" s="108">
        <f t="shared" si="78"/>
        <v>49407</v>
      </c>
      <c r="T364" s="108">
        <f t="shared" si="78"/>
        <v>181417</v>
      </c>
      <c r="U364" s="108">
        <f t="shared" si="78"/>
        <v>0</v>
      </c>
      <c r="V364" s="108">
        <f t="shared" si="78"/>
        <v>0</v>
      </c>
      <c r="W364" s="108">
        <f t="shared" si="78"/>
        <v>0</v>
      </c>
      <c r="X364" s="108">
        <f t="shared" si="78"/>
        <v>2123</v>
      </c>
      <c r="Y364" s="108">
        <f t="shared" si="78"/>
        <v>4065</v>
      </c>
      <c r="Z364" s="108">
        <f>SUM(O364+T364)</f>
        <v>337299</v>
      </c>
      <c r="AA364" s="137">
        <f>SUM(Z364/J364)</f>
        <v>0.66813976106950224</v>
      </c>
      <c r="AB364" s="121">
        <f>SUM(AB359+AB331+AB291+AB234+AB122+AB33+AB12)</f>
        <v>577678000</v>
      </c>
      <c r="AC364" s="122" t="s">
        <v>463</v>
      </c>
      <c r="AF364" s="232"/>
    </row>
    <row r="365" spans="2:32" ht="22.5" customHeight="1" x14ac:dyDescent="0.2">
      <c r="B365" s="544" t="s">
        <v>335</v>
      </c>
      <c r="C365" s="545"/>
      <c r="D365" s="545"/>
      <c r="E365" s="545"/>
      <c r="F365" s="545"/>
      <c r="G365" s="545"/>
      <c r="H365" s="545"/>
      <c r="I365" s="545"/>
      <c r="J365" s="545"/>
      <c r="K365" s="545"/>
      <c r="L365" s="545"/>
      <c r="M365" s="545"/>
      <c r="N365" s="545"/>
      <c r="O365" s="545"/>
      <c r="P365" s="545"/>
      <c r="Q365" s="545"/>
      <c r="R365" s="545"/>
      <c r="S365" s="545"/>
      <c r="T365" s="545"/>
      <c r="U365" s="545"/>
      <c r="V365" s="545"/>
      <c r="W365" s="545"/>
      <c r="X365" s="545"/>
      <c r="Y365" s="545"/>
      <c r="Z365" s="545"/>
      <c r="AA365" s="545"/>
      <c r="AB365" s="545"/>
      <c r="AC365" s="546"/>
    </row>
    <row r="366" spans="2:32" x14ac:dyDescent="0.2">
      <c r="I366" s="232"/>
      <c r="R366" s="188"/>
    </row>
    <row r="367" spans="2:32" x14ac:dyDescent="0.2">
      <c r="R367" s="188"/>
    </row>
    <row r="368" spans="2:32" x14ac:dyDescent="0.2">
      <c r="N368" s="232"/>
      <c r="O368" s="232"/>
      <c r="R368" s="188"/>
      <c r="W368" s="232"/>
    </row>
    <row r="369" spans="9:23" x14ac:dyDescent="0.2">
      <c r="I369" s="232"/>
      <c r="J369" s="232"/>
      <c r="O369" s="240"/>
      <c r="P369" s="232"/>
      <c r="R369" s="188"/>
    </row>
    <row r="370" spans="9:23" x14ac:dyDescent="0.2">
      <c r="P370" s="232"/>
      <c r="R370" s="188"/>
      <c r="T370" s="232"/>
      <c r="V370" s="232"/>
      <c r="W370" s="232"/>
    </row>
    <row r="371" spans="9:23" x14ac:dyDescent="0.2">
      <c r="L371" s="232"/>
      <c r="R371" s="188"/>
    </row>
    <row r="372" spans="9:23" x14ac:dyDescent="0.2">
      <c r="P372" s="210" t="s">
        <v>228</v>
      </c>
      <c r="R372" s="241"/>
    </row>
  </sheetData>
  <mergeCells count="409">
    <mergeCell ref="C262:E262"/>
    <mergeCell ref="C263:E263"/>
    <mergeCell ref="C264:E264"/>
    <mergeCell ref="F271:AC271"/>
    <mergeCell ref="C268:E268"/>
    <mergeCell ref="F285:AC285"/>
    <mergeCell ref="C279:E279"/>
    <mergeCell ref="B284:E284"/>
    <mergeCell ref="B285:E285"/>
    <mergeCell ref="C298:E298"/>
    <mergeCell ref="B281:E281"/>
    <mergeCell ref="B283:E283"/>
    <mergeCell ref="C266:E266"/>
    <mergeCell ref="C277:E277"/>
    <mergeCell ref="C276:E276"/>
    <mergeCell ref="F281:AC281"/>
    <mergeCell ref="C278:E278"/>
    <mergeCell ref="C265:E265"/>
    <mergeCell ref="C267:E267"/>
    <mergeCell ref="B291:H291"/>
    <mergeCell ref="C290:E290"/>
    <mergeCell ref="F287:AC287"/>
    <mergeCell ref="B365:AC365"/>
    <mergeCell ref="C90:AC90"/>
    <mergeCell ref="C91:E91"/>
    <mergeCell ref="C332:E332"/>
    <mergeCell ref="F326:AC326"/>
    <mergeCell ref="C317:E317"/>
    <mergeCell ref="C238:E238"/>
    <mergeCell ref="C235:E235"/>
    <mergeCell ref="B231:E231"/>
    <mergeCell ref="B175:E175"/>
    <mergeCell ref="B176:E176"/>
    <mergeCell ref="F175:AC175"/>
    <mergeCell ref="C360:E360"/>
    <mergeCell ref="C350:E350"/>
    <mergeCell ref="C358:E358"/>
    <mergeCell ref="B356:AB356"/>
    <mergeCell ref="C353:E353"/>
    <mergeCell ref="C354:E354"/>
    <mergeCell ref="B306:E306"/>
    <mergeCell ref="B304:AB304"/>
    <mergeCell ref="B112:AC112"/>
    <mergeCell ref="C309:E309"/>
    <mergeCell ref="C310:E310"/>
    <mergeCell ref="C312:E312"/>
    <mergeCell ref="C93:E93"/>
    <mergeCell ref="C10:AC10"/>
    <mergeCell ref="E3:AC3"/>
    <mergeCell ref="E4:AC4"/>
    <mergeCell ref="F26:AC26"/>
    <mergeCell ref="B102:E102"/>
    <mergeCell ref="C120:AC120"/>
    <mergeCell ref="AB238:AC238"/>
    <mergeCell ref="C18:E18"/>
    <mergeCell ref="C19:E19"/>
    <mergeCell ref="F25:AC25"/>
    <mergeCell ref="C11:E11"/>
    <mergeCell ref="B48:E48"/>
    <mergeCell ref="C45:E45"/>
    <mergeCell ref="B29:E29"/>
    <mergeCell ref="B30:E30"/>
    <mergeCell ref="B49:E49"/>
    <mergeCell ref="C34:E34"/>
    <mergeCell ref="C41:E41"/>
    <mergeCell ref="C42:E42"/>
    <mergeCell ref="C43:E43"/>
    <mergeCell ref="B26:E26"/>
    <mergeCell ref="B24:AC24"/>
    <mergeCell ref="C17:E17"/>
    <mergeCell ref="C15:E15"/>
    <mergeCell ref="C50:AC50"/>
    <mergeCell ref="C51:E51"/>
    <mergeCell ref="C56:E56"/>
    <mergeCell ref="C57:E57"/>
    <mergeCell ref="B61:AB61"/>
    <mergeCell ref="F62:AC62"/>
    <mergeCell ref="F63:AC63"/>
    <mergeCell ref="B62:E62"/>
    <mergeCell ref="C58:E58"/>
    <mergeCell ref="C60:E60"/>
    <mergeCell ref="F49:AC49"/>
    <mergeCell ref="C16:E16"/>
    <mergeCell ref="C20:E20"/>
    <mergeCell ref="F48:AC48"/>
    <mergeCell ref="C46:E46"/>
    <mergeCell ref="B47:AB47"/>
    <mergeCell ref="C39:E39"/>
    <mergeCell ref="C44:E44"/>
    <mergeCell ref="C37:E37"/>
    <mergeCell ref="C31:AC31"/>
    <mergeCell ref="C32:E32"/>
    <mergeCell ref="F29:AC29"/>
    <mergeCell ref="C35:E35"/>
    <mergeCell ref="C71:E71"/>
    <mergeCell ref="C70:E70"/>
    <mergeCell ref="C75:E75"/>
    <mergeCell ref="C69:E69"/>
    <mergeCell ref="C64:AC64"/>
    <mergeCell ref="C52:E52"/>
    <mergeCell ref="C55:E55"/>
    <mergeCell ref="C67:E67"/>
    <mergeCell ref="C68:E68"/>
    <mergeCell ref="C65:E65"/>
    <mergeCell ref="B63:E63"/>
    <mergeCell ref="C53:E53"/>
    <mergeCell ref="C66:E66"/>
    <mergeCell ref="C36:E36"/>
    <mergeCell ref="C38:E38"/>
    <mergeCell ref="AB22:AC23"/>
    <mergeCell ref="B1:AC1"/>
    <mergeCell ref="C22:E22"/>
    <mergeCell ref="B4:D4"/>
    <mergeCell ref="B9:D9"/>
    <mergeCell ref="B28:AC28"/>
    <mergeCell ref="C21:E21"/>
    <mergeCell ref="B25:E25"/>
    <mergeCell ref="B27:E27"/>
    <mergeCell ref="B33:H33"/>
    <mergeCell ref="E5:AC5"/>
    <mergeCell ref="E6:AC6"/>
    <mergeCell ref="B6:D6"/>
    <mergeCell ref="F27:AC27"/>
    <mergeCell ref="E7:AC7"/>
    <mergeCell ref="E9:AC9"/>
    <mergeCell ref="B12:H12"/>
    <mergeCell ref="B7:D7"/>
    <mergeCell ref="C13:E13"/>
    <mergeCell ref="C14:E14"/>
    <mergeCell ref="F30:AC30"/>
    <mergeCell ref="B2:AC2"/>
    <mergeCell ref="B3:D3"/>
    <mergeCell ref="B8:AC8"/>
    <mergeCell ref="B5:D5"/>
    <mergeCell ref="B113:E113"/>
    <mergeCell ref="C80:E80"/>
    <mergeCell ref="C73:E73"/>
    <mergeCell ref="B87:AB87"/>
    <mergeCell ref="F89:AC89"/>
    <mergeCell ref="F88:AC88"/>
    <mergeCell ref="C74:E74"/>
    <mergeCell ref="B89:E89"/>
    <mergeCell ref="C79:E79"/>
    <mergeCell ref="C96:E96"/>
    <mergeCell ref="C99:E99"/>
    <mergeCell ref="C97:E97"/>
    <mergeCell ref="C76:E76"/>
    <mergeCell ref="B100:AB100"/>
    <mergeCell ref="F101:AC101"/>
    <mergeCell ref="C105:E105"/>
    <mergeCell ref="C106:E106"/>
    <mergeCell ref="C77:E77"/>
    <mergeCell ref="C92:E92"/>
    <mergeCell ref="B101:E101"/>
    <mergeCell ref="C78:E78"/>
    <mergeCell ref="C86:E86"/>
    <mergeCell ref="B88:E88"/>
    <mergeCell ref="B305:E305"/>
    <mergeCell ref="C302:E302"/>
    <mergeCell ref="C292:E292"/>
    <mergeCell ref="B116:AB116"/>
    <mergeCell ref="C83:E83"/>
    <mergeCell ref="C84:E84"/>
    <mergeCell ref="C85:E85"/>
    <mergeCell ref="B122:H122"/>
    <mergeCell ref="C143:E143"/>
    <mergeCell ref="C98:E98"/>
    <mergeCell ref="C104:E104"/>
    <mergeCell ref="B234:H234"/>
    <mergeCell ref="C107:E107"/>
    <mergeCell ref="C160:E160"/>
    <mergeCell ref="C123:E123"/>
    <mergeCell ref="B118:E118"/>
    <mergeCell ref="C256:E256"/>
    <mergeCell ref="B258:E258"/>
    <mergeCell ref="B257:AB257"/>
    <mergeCell ref="B271:E271"/>
    <mergeCell ref="B280:AC280"/>
    <mergeCell ref="F176:AC176"/>
    <mergeCell ref="C131:E131"/>
    <mergeCell ref="C183:E183"/>
    <mergeCell ref="C157:E157"/>
    <mergeCell ref="B144:AB144"/>
    <mergeCell ref="B117:E117"/>
    <mergeCell ref="B114:E114"/>
    <mergeCell ref="B115:E115"/>
    <mergeCell ref="F115:AC115"/>
    <mergeCell ref="C181:E181"/>
    <mergeCell ref="C178:E178"/>
    <mergeCell ref="F119:AC119"/>
    <mergeCell ref="C121:E121"/>
    <mergeCell ref="F117:AC117"/>
    <mergeCell ref="F114:AC114"/>
    <mergeCell ref="B166:E166"/>
    <mergeCell ref="C158:E158"/>
    <mergeCell ref="C156:E156"/>
    <mergeCell ref="B165:AB165"/>
    <mergeCell ref="C161:E161"/>
    <mergeCell ref="C152:E152"/>
    <mergeCell ref="F166:AC166"/>
    <mergeCell ref="C169:E169"/>
    <mergeCell ref="C173:E173"/>
    <mergeCell ref="C170:E170"/>
    <mergeCell ref="F306:AC306"/>
    <mergeCell ref="C103:AC103"/>
    <mergeCell ref="F113:AC113"/>
    <mergeCell ref="C82:E82"/>
    <mergeCell ref="C124:E124"/>
    <mergeCell ref="C108:E108"/>
    <mergeCell ref="C149:E149"/>
    <mergeCell ref="C151:E151"/>
    <mergeCell ref="C150:E150"/>
    <mergeCell ref="C109:E109"/>
    <mergeCell ref="F102:AC102"/>
    <mergeCell ref="B119:E119"/>
    <mergeCell ref="B146:E146"/>
    <mergeCell ref="C125:E125"/>
    <mergeCell ref="F118:AC118"/>
    <mergeCell ref="C130:E130"/>
    <mergeCell ref="C142:E142"/>
    <mergeCell ref="F145:AC145"/>
    <mergeCell ref="F146:AC146"/>
    <mergeCell ref="B145:E145"/>
    <mergeCell ref="C148:E148"/>
    <mergeCell ref="C147:AC147"/>
    <mergeCell ref="C126:E126"/>
    <mergeCell ref="C137:E137"/>
    <mergeCell ref="D244:AC244"/>
    <mergeCell ref="C250:E250"/>
    <mergeCell ref="C255:E255"/>
    <mergeCell ref="C260:AC260"/>
    <mergeCell ref="C254:E254"/>
    <mergeCell ref="C242:E242"/>
    <mergeCell ref="B239:AB239"/>
    <mergeCell ref="C249:E249"/>
    <mergeCell ref="C245:E245"/>
    <mergeCell ref="AB241:AC241"/>
    <mergeCell ref="AB242:AC242"/>
    <mergeCell ref="AB256:AC256"/>
    <mergeCell ref="C248:E248"/>
    <mergeCell ref="F259:AC259"/>
    <mergeCell ref="C334:E334"/>
    <mergeCell ref="B325:E325"/>
    <mergeCell ref="F313:AC313"/>
    <mergeCell ref="F317:AC317"/>
    <mergeCell ref="B327:E327"/>
    <mergeCell ref="C349:E349"/>
    <mergeCell ref="B351:E351"/>
    <mergeCell ref="C338:E338"/>
    <mergeCell ref="B328:E328"/>
    <mergeCell ref="F328:AC328"/>
    <mergeCell ref="B324:E324"/>
    <mergeCell ref="C345:E345"/>
    <mergeCell ref="C346:E346"/>
    <mergeCell ref="B329:G329"/>
    <mergeCell ref="C314:E314"/>
    <mergeCell ref="C313:E313"/>
    <mergeCell ref="F324:AC324"/>
    <mergeCell ref="C320:E320"/>
    <mergeCell ref="C318:E318"/>
    <mergeCell ref="C315:E315"/>
    <mergeCell ref="C322:E322"/>
    <mergeCell ref="C316:E316"/>
    <mergeCell ref="B323:AB323"/>
    <mergeCell ref="C321:E321"/>
    <mergeCell ref="B364:H364"/>
    <mergeCell ref="F325:AC325"/>
    <mergeCell ref="C330:E330"/>
    <mergeCell ref="C341:E341"/>
    <mergeCell ref="C340:E340"/>
    <mergeCell ref="C347:E347"/>
    <mergeCell ref="C348:E348"/>
    <mergeCell ref="C363:E363"/>
    <mergeCell ref="C362:E362"/>
    <mergeCell ref="F351:AC351"/>
    <mergeCell ref="B352:E352"/>
    <mergeCell ref="C336:E336"/>
    <mergeCell ref="C337:E337"/>
    <mergeCell ref="C339:E339"/>
    <mergeCell ref="C333:E333"/>
    <mergeCell ref="C361:E361"/>
    <mergeCell ref="C335:E335"/>
    <mergeCell ref="C355:E355"/>
    <mergeCell ref="B331:H331"/>
    <mergeCell ref="B359:H359"/>
    <mergeCell ref="H329:AC329"/>
    <mergeCell ref="B326:E326"/>
    <mergeCell ref="F327:AC327"/>
    <mergeCell ref="F352:AC352"/>
    <mergeCell ref="C162:E162"/>
    <mergeCell ref="C155:E155"/>
    <mergeCell ref="AF182:AG182"/>
    <mergeCell ref="AF183:AG183"/>
    <mergeCell ref="F230:AC230"/>
    <mergeCell ref="F231:AC231"/>
    <mergeCell ref="C233:E233"/>
    <mergeCell ref="C177:AC177"/>
    <mergeCell ref="C190:E190"/>
    <mergeCell ref="B206:E206"/>
    <mergeCell ref="C191:E191"/>
    <mergeCell ref="B174:AB174"/>
    <mergeCell ref="B230:E230"/>
    <mergeCell ref="C212:E212"/>
    <mergeCell ref="F227:AC227"/>
    <mergeCell ref="F226:AC226"/>
    <mergeCell ref="F206:AC206"/>
    <mergeCell ref="C188:E188"/>
    <mergeCell ref="B196:E196"/>
    <mergeCell ref="F197:AC197"/>
    <mergeCell ref="F228:AC228"/>
    <mergeCell ref="C213:E213"/>
    <mergeCell ref="C199:E199"/>
    <mergeCell ref="B195:AB195"/>
    <mergeCell ref="F167:AB167"/>
    <mergeCell ref="AB264:AC264"/>
    <mergeCell ref="AB265:AC265"/>
    <mergeCell ref="AB266:AC266"/>
    <mergeCell ref="AB268:AC268"/>
    <mergeCell ref="AB269:AC269"/>
    <mergeCell ref="AB255:AC255"/>
    <mergeCell ref="B270:AB270"/>
    <mergeCell ref="AF181:AG181"/>
    <mergeCell ref="C241:E241"/>
    <mergeCell ref="C189:E189"/>
    <mergeCell ref="B227:E227"/>
    <mergeCell ref="B205:E205"/>
    <mergeCell ref="C187:E187"/>
    <mergeCell ref="C184:E184"/>
    <mergeCell ref="C251:E251"/>
    <mergeCell ref="F258:AC258"/>
    <mergeCell ref="C237:E237"/>
    <mergeCell ref="C247:E247"/>
    <mergeCell ref="B243:AB243"/>
    <mergeCell ref="B244:C244"/>
    <mergeCell ref="C240:E240"/>
    <mergeCell ref="AB254:AC254"/>
    <mergeCell ref="B252:AB252"/>
    <mergeCell ref="C179:E179"/>
    <mergeCell ref="C180:E180"/>
    <mergeCell ref="C269:E269"/>
    <mergeCell ref="F283:AC283"/>
    <mergeCell ref="B282:E282"/>
    <mergeCell ref="F272:AC272"/>
    <mergeCell ref="C273:AC273"/>
    <mergeCell ref="C274:E274"/>
    <mergeCell ref="B272:E272"/>
    <mergeCell ref="F282:AC282"/>
    <mergeCell ref="C203:E203"/>
    <mergeCell ref="B204:AB204"/>
    <mergeCell ref="B259:E259"/>
    <mergeCell ref="C261:E261"/>
    <mergeCell ref="F205:AC205"/>
    <mergeCell ref="C202:E202"/>
    <mergeCell ref="C201:E201"/>
    <mergeCell ref="C200:E200"/>
    <mergeCell ref="AC203:AD203"/>
    <mergeCell ref="C224:E224"/>
    <mergeCell ref="C198:AC198"/>
    <mergeCell ref="C194:E194"/>
    <mergeCell ref="C208:E208"/>
    <mergeCell ref="C246:E246"/>
    <mergeCell ref="B288:E288"/>
    <mergeCell ref="AB293:AC295"/>
    <mergeCell ref="C127:E127"/>
    <mergeCell ref="C193:E193"/>
    <mergeCell ref="C182:E182"/>
    <mergeCell ref="C185:E185"/>
    <mergeCell ref="C186:E186"/>
    <mergeCell ref="C232:AC232"/>
    <mergeCell ref="B229:AB229"/>
    <mergeCell ref="B225:AC225"/>
    <mergeCell ref="C209:E209"/>
    <mergeCell ref="F196:AC196"/>
    <mergeCell ref="B197:E197"/>
    <mergeCell ref="C207:AC207"/>
    <mergeCell ref="B228:E228"/>
    <mergeCell ref="C211:E211"/>
    <mergeCell ref="B226:E226"/>
    <mergeCell ref="C214:E214"/>
    <mergeCell ref="C153:E153"/>
    <mergeCell ref="C159:E159"/>
    <mergeCell ref="C168:AC168"/>
    <mergeCell ref="C154:E154"/>
    <mergeCell ref="B167:E167"/>
    <mergeCell ref="C172:E172"/>
    <mergeCell ref="AB303:AC303"/>
    <mergeCell ref="AB333:AC336"/>
    <mergeCell ref="AB201:AD201"/>
    <mergeCell ref="AB202:AD202"/>
    <mergeCell ref="C303:E303"/>
    <mergeCell ref="AB310:AC310"/>
    <mergeCell ref="F284:AC284"/>
    <mergeCell ref="I357:AC357"/>
    <mergeCell ref="C95:E95"/>
    <mergeCell ref="C111:E111"/>
    <mergeCell ref="C132:E132"/>
    <mergeCell ref="C293:E293"/>
    <mergeCell ref="C289:AC289"/>
    <mergeCell ref="C308:E308"/>
    <mergeCell ref="C299:E299"/>
    <mergeCell ref="C275:E275"/>
    <mergeCell ref="C307:E307"/>
    <mergeCell ref="B287:E287"/>
    <mergeCell ref="C301:E301"/>
    <mergeCell ref="C296:E296"/>
    <mergeCell ref="F305:AC305"/>
    <mergeCell ref="C297:E297"/>
    <mergeCell ref="B286:AB286"/>
    <mergeCell ref="F288:AC288"/>
  </mergeCells>
  <printOptions horizontalCentered="1"/>
  <pageMargins left="0" right="0" top="0.39370078740157483" bottom="0.39370078740157483" header="0.39370078740157483" footer="0.39370078740157483"/>
  <pageSetup scale="60" orientation="landscape" r:id="rId1"/>
  <headerFooter>
    <oddFooter>&amp;C&amp;9PLAN OPERATIVO ANUAL, 2025
&amp;P</oddFooter>
  </headerFooter>
  <rowBreaks count="19" manualBreakCount="19">
    <brk id="23" max="16383" man="1"/>
    <brk id="44" min="1" max="30" man="1"/>
    <brk id="66" min="1" max="30" man="1"/>
    <brk id="93" min="1" max="34" man="1"/>
    <brk id="111" max="16383" man="1"/>
    <brk id="132" min="1" max="30" man="1"/>
    <brk id="143" min="1" max="38" man="1"/>
    <brk id="161" min="1" max="50" man="1"/>
    <brk id="179" min="1" max="38" man="1"/>
    <brk id="200" min="1" max="46" man="1"/>
    <brk id="224" max="16383" man="1"/>
    <brk id="241" min="1" max="28" man="1"/>
    <brk id="256" min="1" max="28" man="1"/>
    <brk id="268" min="1" max="28" man="1"/>
    <brk id="279" max="16383" man="1"/>
    <brk id="297" min="1" max="28" man="1"/>
    <brk id="309" min="1" max="28" man="1"/>
    <brk id="322" max="16383" man="1"/>
    <brk id="344" min="1"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EJECUCION</vt:lpstr>
      <vt:lpstr>EJECUCION!Área_de_impresión</vt:lpstr>
      <vt:lpstr>EJECUCION!Títulos_a_imprimir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Garcia</dc:creator>
  <cp:lastModifiedBy>Silvia García</cp:lastModifiedBy>
  <cp:lastPrinted>2025-09-10T18:07:12Z</cp:lastPrinted>
  <dcterms:created xsi:type="dcterms:W3CDTF">2019-01-08T14:24:40Z</dcterms:created>
  <dcterms:modified xsi:type="dcterms:W3CDTF">2026-05-26T15:34:16Z</dcterms:modified>
</cp:coreProperties>
</file>