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garcia\Documents\Silvia Garcia\Desktop\2\SEGUIMIENTO\EDITABLES INFORMACION PUBLICA JUNIO-DIC 2025\"/>
    </mc:Choice>
  </mc:AlternateContent>
  <bookViews>
    <workbookView xWindow="-120" yWindow="0" windowWidth="2280" windowHeight="0"/>
  </bookViews>
  <sheets>
    <sheet name="EJECUCION" sheetId="1" r:id="rId1"/>
    <sheet name="Hoja1" sheetId="2" r:id="rId2"/>
  </sheets>
  <definedNames>
    <definedName name="_xlnm.Print_Area" localSheetId="0">EJECUCION!$B$1:$BN$364</definedName>
    <definedName name="_xlnm.Print_Titles" localSheetId="0">EJECUCION!$1:$1</definedName>
  </definedNames>
  <calcPr calcId="162913"/>
</workbook>
</file>

<file path=xl/calcChain.xml><?xml version="1.0" encoding="utf-8"?>
<calcChain xmlns="http://schemas.openxmlformats.org/spreadsheetml/2006/main">
  <c r="BL109" i="1" l="1"/>
  <c r="BL108" i="1"/>
  <c r="BL77" i="1"/>
  <c r="BI291" i="1" l="1"/>
  <c r="BH291" i="1"/>
  <c r="BG291" i="1"/>
  <c r="BI234" i="1"/>
  <c r="BH234" i="1"/>
  <c r="BJ245" i="1"/>
  <c r="BG12" i="1"/>
  <c r="BF12" i="1"/>
  <c r="BG262" i="1" l="1"/>
  <c r="BG235" i="1"/>
  <c r="BG234" i="1" l="1"/>
  <c r="BK222" i="1"/>
  <c r="BK221" i="1"/>
  <c r="BK219" i="1"/>
  <c r="BK210" i="1"/>
  <c r="BK23" i="1"/>
  <c r="BG123" i="1"/>
  <c r="BG122" i="1" s="1"/>
  <c r="BF123" i="1"/>
  <c r="BJ19" i="1" l="1"/>
  <c r="BJ20" i="1"/>
  <c r="BJ13" i="1"/>
  <c r="BJ14" i="1"/>
  <c r="BL23" i="1" l="1"/>
  <c r="BG332" i="1"/>
  <c r="BL303" i="1"/>
  <c r="BM122" i="1" l="1"/>
  <c r="BM12" i="1"/>
  <c r="BG66" i="1"/>
  <c r="BG353" i="1"/>
  <c r="BG331" i="1" s="1"/>
  <c r="BE344" i="1"/>
  <c r="BK344" i="1" s="1"/>
  <c r="BL344" i="1" s="1"/>
  <c r="BE110" i="1"/>
  <c r="BK110" i="1" s="1"/>
  <c r="BJ53" i="1" l="1"/>
  <c r="E42" i="2" l="1"/>
  <c r="E40" i="2"/>
  <c r="E39" i="2"/>
  <c r="D39" i="2"/>
  <c r="C42" i="2"/>
  <c r="C41" i="2"/>
  <c r="E34" i="2" l="1"/>
  <c r="E31" i="2"/>
  <c r="C35" i="2"/>
  <c r="C34" i="2"/>
  <c r="E26" i="2"/>
  <c r="E24" i="2"/>
  <c r="E23" i="2"/>
  <c r="E22" i="2"/>
  <c r="D22" i="2"/>
  <c r="C27" i="2"/>
  <c r="C26" i="2"/>
  <c r="BF291" i="1" l="1"/>
  <c r="BF34" i="1"/>
  <c r="BF353" i="1" l="1"/>
  <c r="BF332" i="1"/>
  <c r="BF331" i="1" s="1"/>
  <c r="BF262" i="1"/>
  <c r="BF235" i="1"/>
  <c r="BJ235" i="1" s="1"/>
  <c r="BJ180" i="1"/>
  <c r="BJ157" i="1"/>
  <c r="BE142" i="1"/>
  <c r="BK142" i="1" s="1"/>
  <c r="BL142" i="1" s="1"/>
  <c r="BE143" i="1"/>
  <c r="BK143" i="1" s="1"/>
  <c r="BL143" i="1" s="1"/>
  <c r="BM66" i="1"/>
  <c r="BF149" i="1" l="1"/>
  <c r="BJ105" i="1"/>
  <c r="BF66" i="1"/>
  <c r="BJ12" i="1"/>
  <c r="BJ123" i="1" l="1"/>
  <c r="BF122" i="1"/>
  <c r="BK359" i="1"/>
  <c r="BK363" i="1"/>
  <c r="BL363" i="1" s="1"/>
  <c r="BK362" i="1"/>
  <c r="BK361" i="1"/>
  <c r="BL361" i="1" s="1"/>
  <c r="BK360" i="1"/>
  <c r="BL360" i="1" l="1"/>
  <c r="BJ350" i="1" l="1"/>
  <c r="BJ349" i="1"/>
  <c r="BJ348" i="1"/>
  <c r="BJ346" i="1"/>
  <c r="BJ345" i="1"/>
  <c r="BJ343" i="1"/>
  <c r="BJ342" i="1"/>
  <c r="BJ242" i="1"/>
  <c r="BJ241" i="1"/>
  <c r="BL220" i="1"/>
  <c r="BJ217" i="1"/>
  <c r="BJ211" i="1"/>
  <c r="BJ203" i="1"/>
  <c r="BK202" i="1"/>
  <c r="BJ201" i="1"/>
  <c r="BJ194" i="1"/>
  <c r="BK194" i="1" s="1"/>
  <c r="BL194" i="1" s="1"/>
  <c r="BJ193" i="1"/>
  <c r="BK190" i="1"/>
  <c r="BJ189" i="1"/>
  <c r="BJ188" i="1"/>
  <c r="BJ186" i="1"/>
  <c r="BJ185" i="1"/>
  <c r="BJ184" i="1"/>
  <c r="BJ183" i="1"/>
  <c r="BJ182" i="1"/>
  <c r="BJ181" i="1"/>
  <c r="BJ164" i="1"/>
  <c r="BJ162" i="1"/>
  <c r="BJ161" i="1"/>
  <c r="BJ160" i="1"/>
  <c r="BJ159" i="1"/>
  <c r="BJ155" i="1"/>
  <c r="BJ154" i="1"/>
  <c r="BJ132" i="1"/>
  <c r="BJ46" i="1"/>
  <c r="BJ42" i="1"/>
  <c r="BJ40" i="1"/>
  <c r="BJ38" i="1"/>
  <c r="BJ37" i="1"/>
  <c r="BL222" i="1"/>
  <c r="BE215" i="1"/>
  <c r="BL223" i="1"/>
  <c r="BL221" i="1"/>
  <c r="BL219" i="1"/>
  <c r="BL218" i="1"/>
  <c r="BL210" i="1"/>
  <c r="BJ200" i="1"/>
  <c r="BJ150" i="1"/>
  <c r="BJ99" i="1"/>
  <c r="BJ98" i="1"/>
  <c r="BJ97" i="1"/>
  <c r="BJ96" i="1"/>
  <c r="BJ95" i="1"/>
  <c r="BJ94" i="1"/>
  <c r="BJ93" i="1"/>
  <c r="BJ92" i="1"/>
  <c r="BJ67" i="1"/>
  <c r="BJ35" i="1"/>
  <c r="BJ34" i="1"/>
  <c r="BF52" i="1"/>
  <c r="BJ240" i="1"/>
  <c r="BK215" i="1" l="1"/>
  <c r="BL215" i="1" s="1"/>
  <c r="BL211" i="1"/>
  <c r="BJ122" i="1"/>
  <c r="BE335" i="1" l="1"/>
  <c r="BJ18" i="1" l="1"/>
  <c r="BJ17" i="1"/>
  <c r="BJ16" i="1"/>
  <c r="BJ15" i="1"/>
  <c r="BL216" i="1" l="1"/>
  <c r="BE209" i="1" l="1"/>
  <c r="BD179" i="1"/>
  <c r="BE134" i="1" l="1"/>
  <c r="BK134" i="1" s="1"/>
  <c r="BE135" i="1"/>
  <c r="BE136" i="1"/>
  <c r="BE137" i="1"/>
  <c r="BE138" i="1"/>
  <c r="BK138" i="1" s="1"/>
  <c r="BE139" i="1"/>
  <c r="BK139" i="1" s="1"/>
  <c r="BL139" i="1" s="1"/>
  <c r="BE140" i="1"/>
  <c r="BE141" i="1"/>
  <c r="BK141" i="1" s="1"/>
  <c r="BE130" i="1"/>
  <c r="BD291" i="1" l="1"/>
  <c r="BE315" i="1"/>
  <c r="BM359" i="1"/>
  <c r="BM331" i="1"/>
  <c r="BM291" i="1"/>
  <c r="BE264" i="1" l="1"/>
  <c r="BD253" i="1"/>
  <c r="BM234" i="1"/>
  <c r="BM33" i="1"/>
  <c r="BM364" i="1" l="1"/>
  <c r="BC179" i="1"/>
  <c r="BD12" i="1"/>
  <c r="BL315" i="1"/>
  <c r="BD353" i="1" l="1"/>
  <c r="BD332" i="1"/>
  <c r="BD331" i="1" s="1"/>
  <c r="BD262" i="1"/>
  <c r="BD235" i="1"/>
  <c r="BD66" i="1"/>
  <c r="BD52" i="1"/>
  <c r="BD123" i="1" l="1"/>
  <c r="K14" i="2"/>
  <c r="K13" i="2"/>
  <c r="K12" i="2"/>
  <c r="K11" i="2"/>
  <c r="K10" i="2"/>
  <c r="K16" i="2" s="1"/>
  <c r="I18" i="2"/>
  <c r="I15" i="2"/>
  <c r="K22" i="2" l="1"/>
  <c r="K21" i="2"/>
  <c r="K24" i="2" s="1"/>
  <c r="I24" i="2"/>
  <c r="I25" i="2" s="1"/>
  <c r="I16" i="2"/>
  <c r="E8" i="2" l="1"/>
  <c r="C10" i="2"/>
  <c r="C9" i="2"/>
  <c r="K4" i="2"/>
  <c r="I6" i="2"/>
  <c r="K3" i="2" s="1"/>
  <c r="E7" i="2"/>
  <c r="E6" i="2"/>
  <c r="E5" i="2"/>
  <c r="E4" i="2"/>
  <c r="E3" i="2"/>
  <c r="BL141" i="1" l="1"/>
  <c r="BL134" i="1"/>
  <c r="BL347" i="1" l="1"/>
  <c r="BE355" i="1" l="1"/>
  <c r="BE354" i="1"/>
  <c r="BE350" i="1"/>
  <c r="BE349" i="1"/>
  <c r="BE348" i="1"/>
  <c r="BE347" i="1"/>
  <c r="BE346" i="1"/>
  <c r="BE345" i="1"/>
  <c r="BE343" i="1"/>
  <c r="BE342" i="1"/>
  <c r="BE341" i="1"/>
  <c r="BE340" i="1"/>
  <c r="BE339" i="1"/>
  <c r="BE338" i="1"/>
  <c r="BE337" i="1"/>
  <c r="BE336" i="1"/>
  <c r="BE334" i="1"/>
  <c r="BE333" i="1"/>
  <c r="BE320" i="1"/>
  <c r="BE319" i="1"/>
  <c r="BE316" i="1"/>
  <c r="BK316" i="1" s="1"/>
  <c r="BE312" i="1"/>
  <c r="BE311" i="1"/>
  <c r="BE309" i="1"/>
  <c r="BE308" i="1"/>
  <c r="BE307" i="1"/>
  <c r="BK300" i="1"/>
  <c r="BE301" i="1"/>
  <c r="BK301" i="1" s="1"/>
  <c r="BE299" i="1"/>
  <c r="BE298" i="1"/>
  <c r="BE297" i="1"/>
  <c r="BE296" i="1"/>
  <c r="BE295" i="1"/>
  <c r="BE294" i="1"/>
  <c r="BE293" i="1"/>
  <c r="BE279" i="1"/>
  <c r="BE278" i="1"/>
  <c r="BE277" i="1"/>
  <c r="BE276" i="1"/>
  <c r="BE275" i="1"/>
  <c r="BE269" i="1"/>
  <c r="BE268" i="1"/>
  <c r="BE267" i="1"/>
  <c r="BE266" i="1"/>
  <c r="BE265" i="1"/>
  <c r="BE263" i="1"/>
  <c r="BE256" i="1"/>
  <c r="BE255" i="1"/>
  <c r="BE254" i="1"/>
  <c r="BE251" i="1"/>
  <c r="BE250" i="1"/>
  <c r="BE249" i="1"/>
  <c r="BE248" i="1"/>
  <c r="BE247" i="1"/>
  <c r="BE246" i="1"/>
  <c r="BE242" i="1"/>
  <c r="BE241" i="1"/>
  <c r="BE238" i="1"/>
  <c r="BE237" i="1"/>
  <c r="BE224" i="1"/>
  <c r="BE223" i="1"/>
  <c r="BE220" i="1"/>
  <c r="BE217" i="1"/>
  <c r="BE216" i="1"/>
  <c r="BE212" i="1"/>
  <c r="BK212" i="1" s="1"/>
  <c r="BL212" i="1" s="1"/>
  <c r="BE211" i="1"/>
  <c r="BE192" i="1"/>
  <c r="BE189" i="1"/>
  <c r="BE187" i="1"/>
  <c r="BK187" i="1" s="1"/>
  <c r="BE186" i="1"/>
  <c r="BK186" i="1" s="1"/>
  <c r="BE185" i="1"/>
  <c r="BE184" i="1"/>
  <c r="BE183" i="1"/>
  <c r="BE182" i="1"/>
  <c r="BE181" i="1"/>
  <c r="BE164" i="1"/>
  <c r="BK164" i="1" s="1"/>
  <c r="BE163" i="1"/>
  <c r="BK163" i="1" s="1"/>
  <c r="BE162" i="1"/>
  <c r="BE161" i="1"/>
  <c r="BE160" i="1"/>
  <c r="BE159" i="1"/>
  <c r="BE158" i="1"/>
  <c r="BE157" i="1"/>
  <c r="BE156" i="1"/>
  <c r="BE155" i="1"/>
  <c r="BE154" i="1"/>
  <c r="BE153" i="1"/>
  <c r="BK153" i="1" s="1"/>
  <c r="BE152" i="1"/>
  <c r="BK152" i="1" s="1"/>
  <c r="BE151" i="1"/>
  <c r="BE150" i="1"/>
  <c r="BE133" i="1"/>
  <c r="BK133" i="1" s="1"/>
  <c r="BE132" i="1"/>
  <c r="BK132" i="1" s="1"/>
  <c r="BE131" i="1"/>
  <c r="BE111" i="1"/>
  <c r="BE109" i="1"/>
  <c r="BE108" i="1"/>
  <c r="BE107" i="1"/>
  <c r="BE106" i="1"/>
  <c r="BK106" i="1" s="1"/>
  <c r="BL106" i="1" s="1"/>
  <c r="BE105" i="1"/>
  <c r="BK105" i="1" s="1"/>
  <c r="BL105" i="1" s="1"/>
  <c r="BE99" i="1"/>
  <c r="BE98" i="1"/>
  <c r="BE97" i="1"/>
  <c r="BE96" i="1"/>
  <c r="BE95" i="1"/>
  <c r="BE94" i="1"/>
  <c r="BE93" i="1"/>
  <c r="BE86" i="1"/>
  <c r="BE85" i="1"/>
  <c r="BE84" i="1"/>
  <c r="BE83" i="1"/>
  <c r="BE82" i="1"/>
  <c r="BE81" i="1"/>
  <c r="BE80" i="1"/>
  <c r="BE79" i="1"/>
  <c r="BE78" i="1"/>
  <c r="BE77" i="1"/>
  <c r="BE76" i="1"/>
  <c r="BE75" i="1"/>
  <c r="BE74" i="1"/>
  <c r="BE73" i="1"/>
  <c r="BE71" i="1"/>
  <c r="BE70" i="1"/>
  <c r="BE69" i="1"/>
  <c r="BE68" i="1"/>
  <c r="BE67" i="1"/>
  <c r="BE60" i="1"/>
  <c r="BE59" i="1"/>
  <c r="BE58" i="1"/>
  <c r="BE57" i="1"/>
  <c r="BE56" i="1"/>
  <c r="BE55" i="1"/>
  <c r="BE54" i="1"/>
  <c r="BE53" i="1"/>
  <c r="BE46" i="1"/>
  <c r="BK46" i="1" s="1"/>
  <c r="BE45" i="1"/>
  <c r="BK45" i="1" s="1"/>
  <c r="BL45" i="1" s="1"/>
  <c r="BE44" i="1"/>
  <c r="BE43" i="1"/>
  <c r="BE42" i="1"/>
  <c r="BE39" i="1"/>
  <c r="BE38" i="1"/>
  <c r="BE37" i="1"/>
  <c r="BE36" i="1"/>
  <c r="BL36" i="1" s="1"/>
  <c r="BE35" i="1"/>
  <c r="BE22" i="1"/>
  <c r="BE21" i="1"/>
  <c r="BE18" i="1"/>
  <c r="BE17" i="1"/>
  <c r="BE16" i="1"/>
  <c r="BE15" i="1"/>
  <c r="BC353" i="1"/>
  <c r="BC332" i="1"/>
  <c r="BC318" i="1"/>
  <c r="BC314" i="1"/>
  <c r="BC262" i="1"/>
  <c r="BC253" i="1"/>
  <c r="BC245" i="1"/>
  <c r="BE245" i="1" s="1"/>
  <c r="BC240" i="1"/>
  <c r="BE240" i="1" s="1"/>
  <c r="BC236" i="1"/>
  <c r="BC235" i="1" s="1"/>
  <c r="BC149" i="1"/>
  <c r="BL111" i="1"/>
  <c r="BC52" i="1"/>
  <c r="BC34" i="1"/>
  <c r="BC12" i="1"/>
  <c r="BK217" i="1" l="1"/>
  <c r="BL217" i="1" s="1"/>
  <c r="BK224" i="1"/>
  <c r="BL224" i="1" s="1"/>
  <c r="BE314" i="1"/>
  <c r="BK314" i="1" s="1"/>
  <c r="BC291" i="1"/>
  <c r="BK254" i="1"/>
  <c r="BE149" i="1"/>
  <c r="BC331" i="1"/>
  <c r="BE236" i="1"/>
  <c r="E15" i="2"/>
  <c r="E14" i="2"/>
  <c r="E13" i="2"/>
  <c r="E12" i="2"/>
  <c r="C17" i="2"/>
  <c r="E18" i="2" s="1"/>
  <c r="F12" i="2" l="1"/>
  <c r="D17" i="2"/>
  <c r="D19" i="2" s="1"/>
  <c r="E20" i="2"/>
  <c r="BL202" i="1"/>
  <c r="P28" i="2" l="1"/>
  <c r="Q28" i="2"/>
  <c r="Q30" i="2"/>
  <c r="Q29" i="2"/>
  <c r="O32" i="2"/>
  <c r="O34" i="2" s="1"/>
  <c r="Q34" i="2" l="1"/>
  <c r="I34" i="2"/>
  <c r="J32" i="2" s="1"/>
  <c r="K32" i="2" s="1"/>
  <c r="K35" i="2" s="1"/>
  <c r="H32" i="2"/>
  <c r="BK320" i="1" l="1"/>
  <c r="BK311" i="1" l="1"/>
  <c r="BK309" i="1"/>
  <c r="BK247" i="1"/>
  <c r="BK193" i="1"/>
  <c r="BE180" i="1"/>
  <c r="BK180" i="1" s="1"/>
  <c r="BK136" i="1"/>
  <c r="BK135" i="1"/>
  <c r="BJ44" i="1"/>
  <c r="BL43" i="1"/>
  <c r="BB353" i="1"/>
  <c r="BB332" i="1"/>
  <c r="BE332" i="1" s="1"/>
  <c r="BB262" i="1"/>
  <c r="BB253" i="1"/>
  <c r="BE253" i="1" s="1"/>
  <c r="BB235" i="1"/>
  <c r="BB179" i="1"/>
  <c r="BB149" i="1"/>
  <c r="BB123" i="1"/>
  <c r="BB66" i="1"/>
  <c r="BB52" i="1"/>
  <c r="BB34" i="1"/>
  <c r="BB12" i="1"/>
  <c r="BB331" i="1" l="1"/>
  <c r="BB122" i="1"/>
  <c r="BL254" i="1"/>
  <c r="BB291" i="1" l="1"/>
  <c r="BJ253" i="1"/>
  <c r="BJ255" i="1"/>
  <c r="BE123" i="1"/>
  <c r="BA353" i="1"/>
  <c r="BA318" i="1"/>
  <c r="BE318" i="1" s="1"/>
  <c r="BA262" i="1"/>
  <c r="BE262" i="1" s="1"/>
  <c r="BL190" i="1"/>
  <c r="BL193" i="1"/>
  <c r="BA179" i="1"/>
  <c r="BE179" i="1" s="1"/>
  <c r="BA149" i="1"/>
  <c r="BA52" i="1"/>
  <c r="BE52" i="1" s="1"/>
  <c r="BA34" i="1"/>
  <c r="BA12" i="1"/>
  <c r="BA291" i="1" l="1"/>
  <c r="BA331" i="1"/>
  <c r="BE353" i="1"/>
  <c r="BK250" i="1"/>
  <c r="BK251" i="1"/>
  <c r="BK249" i="1"/>
  <c r="BJ355" i="1" l="1"/>
  <c r="BJ354" i="1"/>
  <c r="BJ353" i="1"/>
  <c r="BL335" i="1"/>
  <c r="BJ332" i="1"/>
  <c r="BE331" i="1"/>
  <c r="AY332" i="1" l="1"/>
  <c r="AY307" i="1"/>
  <c r="BO52" i="1"/>
  <c r="BO53" i="1"/>
  <c r="AY52" i="1"/>
  <c r="AY353" i="1" l="1"/>
  <c r="AY331" i="1"/>
  <c r="AY318" i="1"/>
  <c r="AY291" i="1" s="1"/>
  <c r="AY262" i="1"/>
  <c r="AY235" i="1"/>
  <c r="AY234" i="1" s="1"/>
  <c r="AY179" i="1"/>
  <c r="AY123" i="1"/>
  <c r="AY66" i="1"/>
  <c r="AZ41" i="1"/>
  <c r="AY34" i="1"/>
  <c r="AY33" i="1" s="1"/>
  <c r="BK22" i="1"/>
  <c r="BK21" i="1"/>
  <c r="BL180" i="1" l="1"/>
  <c r="BL21" i="1"/>
  <c r="BL22" i="1"/>
  <c r="BL247" i="1" l="1"/>
  <c r="BL164" i="1"/>
  <c r="BL138" i="1"/>
  <c r="BL137" i="1"/>
  <c r="BL135" i="1"/>
  <c r="BL107" i="1"/>
  <c r="AZ70" i="1"/>
  <c r="AZ69" i="1"/>
  <c r="AZ68" i="1"/>
  <c r="BL41" i="1"/>
  <c r="AZ18" i="1"/>
  <c r="AZ17" i="1"/>
  <c r="AX353" i="1"/>
  <c r="AX332" i="1"/>
  <c r="AX318" i="1"/>
  <c r="AX291" i="1" s="1"/>
  <c r="AX262" i="1"/>
  <c r="AX235" i="1"/>
  <c r="AX179" i="1"/>
  <c r="AX149" i="1"/>
  <c r="AX123" i="1"/>
  <c r="AX67" i="1"/>
  <c r="AX66" i="1" s="1"/>
  <c r="AX52" i="1"/>
  <c r="AX34" i="1"/>
  <c r="AX12" i="1"/>
  <c r="BK18" i="1" l="1"/>
  <c r="BL18" i="1" s="1"/>
  <c r="BK17" i="1"/>
  <c r="BL17" i="1" s="1"/>
  <c r="AZ67" i="1"/>
  <c r="BL301" i="1"/>
  <c r="BL209" i="1" l="1"/>
  <c r="BL320" i="1"/>
  <c r="BL316" i="1"/>
  <c r="BL311" i="1"/>
  <c r="BL309" i="1"/>
  <c r="BL300" i="1"/>
  <c r="I267" i="1"/>
  <c r="BL251" i="1"/>
  <c r="BL250" i="1"/>
  <c r="BL249" i="1"/>
  <c r="BL140" i="1"/>
  <c r="M66" i="1"/>
  <c r="BL46" i="1"/>
  <c r="I12" i="1" l="1"/>
  <c r="I291" i="1"/>
  <c r="I331" i="1"/>
  <c r="AX331" i="1"/>
  <c r="AY149" i="1"/>
  <c r="AY122" i="1" s="1"/>
  <c r="AX122" i="1"/>
  <c r="BL163" i="1"/>
  <c r="AZ162" i="1"/>
  <c r="BK162" i="1" s="1"/>
  <c r="AZ161" i="1"/>
  <c r="BK161" i="1" s="1"/>
  <c r="AZ160" i="1"/>
  <c r="BK160" i="1" s="1"/>
  <c r="BL152" i="1"/>
  <c r="BL136" i="1"/>
  <c r="BL133" i="1"/>
  <c r="BL132" i="1"/>
  <c r="BJ86" i="1"/>
  <c r="AZ86" i="1"/>
  <c r="BJ85" i="1"/>
  <c r="AZ85" i="1"/>
  <c r="BJ84" i="1"/>
  <c r="AZ84" i="1"/>
  <c r="BJ83" i="1"/>
  <c r="AZ83" i="1"/>
  <c r="BJ82" i="1"/>
  <c r="AZ82" i="1"/>
  <c r="BJ81" i="1"/>
  <c r="AZ81" i="1"/>
  <c r="BJ80" i="1"/>
  <c r="AZ80" i="1"/>
  <c r="BJ79" i="1"/>
  <c r="AZ79" i="1"/>
  <c r="BJ78" i="1"/>
  <c r="AZ78" i="1"/>
  <c r="BJ77" i="1"/>
  <c r="AZ77" i="1"/>
  <c r="BJ76" i="1"/>
  <c r="AZ76" i="1"/>
  <c r="BJ75" i="1"/>
  <c r="AZ75" i="1"/>
  <c r="BJ74" i="1"/>
  <c r="AZ74" i="1"/>
  <c r="BJ73" i="1"/>
  <c r="AZ73" i="1"/>
  <c r="AZ72" i="1"/>
  <c r="BK72" i="1" s="1"/>
  <c r="AZ71" i="1"/>
  <c r="BJ60" i="1"/>
  <c r="AZ60" i="1"/>
  <c r="BJ59" i="1"/>
  <c r="AZ59" i="1"/>
  <c r="BJ58" i="1"/>
  <c r="AZ58" i="1"/>
  <c r="BJ57" i="1"/>
  <c r="AZ57" i="1"/>
  <c r="BJ56" i="1"/>
  <c r="AZ56" i="1"/>
  <c r="BJ55" i="1"/>
  <c r="AZ55" i="1"/>
  <c r="BJ54" i="1"/>
  <c r="AZ54" i="1"/>
  <c r="AZ53" i="1"/>
  <c r="BK53" i="1" s="1"/>
  <c r="BL53" i="1" s="1"/>
  <c r="BK82" i="1" l="1"/>
  <c r="BK60" i="1"/>
  <c r="BK84" i="1"/>
  <c r="BK75" i="1"/>
  <c r="BL75" i="1" s="1"/>
  <c r="BK76" i="1"/>
  <c r="BL76" i="1" s="1"/>
  <c r="BK56" i="1"/>
  <c r="BK83" i="1"/>
  <c r="BL83" i="1" s="1"/>
  <c r="BK81" i="1"/>
  <c r="BL81" i="1" s="1"/>
  <c r="BK86" i="1"/>
  <c r="BL86" i="1" s="1"/>
  <c r="BK78" i="1"/>
  <c r="BL78" i="1" s="1"/>
  <c r="BL160" i="1"/>
  <c r="BL58" i="1"/>
  <c r="BK54" i="1"/>
  <c r="BL54" i="1" s="1"/>
  <c r="BL59" i="1"/>
  <c r="BL60" i="1"/>
  <c r="BL56" i="1"/>
  <c r="BL162" i="1"/>
  <c r="BL73" i="1"/>
  <c r="BL80" i="1"/>
  <c r="BL55" i="1"/>
  <c r="BL161" i="1"/>
  <c r="BL82" i="1"/>
  <c r="BL72" i="1"/>
  <c r="BL85" i="1"/>
  <c r="BL57" i="1"/>
  <c r="BL79" i="1"/>
  <c r="BL84" i="1"/>
  <c r="BL74" i="1"/>
  <c r="BK319" i="1"/>
  <c r="AZ299" i="1"/>
  <c r="BL299" i="1" s="1"/>
  <c r="AZ310" i="1"/>
  <c r="BJ308" i="1"/>
  <c r="AZ308" i="1"/>
  <c r="AW307" i="1"/>
  <c r="AZ307" i="1" s="1"/>
  <c r="AW292" i="1"/>
  <c r="AW291" i="1" s="1"/>
  <c r="BK307" i="1" l="1"/>
  <c r="BL307" i="1" s="1"/>
  <c r="BK308" i="1"/>
  <c r="BK312" i="1"/>
  <c r="BL312" i="1" s="1"/>
  <c r="BK318" i="1"/>
  <c r="BL318" i="1" s="1"/>
  <c r="BK310" i="1"/>
  <c r="BL310" i="1" s="1"/>
  <c r="BL308" i="1"/>
  <c r="BL319" i="1"/>
  <c r="AW332" i="1"/>
  <c r="AW353" i="1"/>
  <c r="AW262" i="1"/>
  <c r="AZ256" i="1"/>
  <c r="BL256" i="1" s="1"/>
  <c r="AZ255" i="1"/>
  <c r="AZ253" i="1"/>
  <c r="BK253" i="1" s="1"/>
  <c r="BL253" i="1" s="1"/>
  <c r="AW235" i="1"/>
  <c r="AV235" i="1"/>
  <c r="BE235" i="1"/>
  <c r="AZ236" i="1"/>
  <c r="BJ236" i="1"/>
  <c r="AZ237" i="1"/>
  <c r="BJ237" i="1"/>
  <c r="AZ238" i="1"/>
  <c r="BJ238" i="1"/>
  <c r="AW209" i="1"/>
  <c r="AW179" i="1"/>
  <c r="AW149" i="1"/>
  <c r="AW123" i="1"/>
  <c r="AW66" i="1"/>
  <c r="AW52" i="1"/>
  <c r="AW34" i="1"/>
  <c r="AW122" i="1" l="1"/>
  <c r="BK255" i="1"/>
  <c r="BL255" i="1" s="1"/>
  <c r="AZ235" i="1"/>
  <c r="BK235" i="1" s="1"/>
  <c r="BK237" i="1"/>
  <c r="BL237" i="1" s="1"/>
  <c r="AW331" i="1"/>
  <c r="BK238" i="1"/>
  <c r="BL238" i="1" s="1"/>
  <c r="AW234" i="1"/>
  <c r="BK236" i="1"/>
  <c r="BL236" i="1" s="1"/>
  <c r="BL235" i="1" l="1"/>
  <c r="AZ355" i="1"/>
  <c r="BK355" i="1" s="1"/>
  <c r="BL355" i="1" s="1"/>
  <c r="AZ354" i="1"/>
  <c r="BK354" i="1" s="1"/>
  <c r="BL354" i="1" s="1"/>
  <c r="AV353" i="1"/>
  <c r="AZ353" i="1" s="1"/>
  <c r="BK353" i="1" s="1"/>
  <c r="BL353" i="1" s="1"/>
  <c r="AZ350" i="1"/>
  <c r="AZ349" i="1"/>
  <c r="BK349" i="1" s="1"/>
  <c r="AZ348" i="1"/>
  <c r="BK348" i="1" s="1"/>
  <c r="BL348" i="1" s="1"/>
  <c r="AZ346" i="1"/>
  <c r="BK346" i="1" s="1"/>
  <c r="BL346" i="1" s="1"/>
  <c r="AZ345" i="1"/>
  <c r="BK345" i="1" s="1"/>
  <c r="BL345" i="1" s="1"/>
  <c r="AZ343" i="1"/>
  <c r="BL343" i="1" s="1"/>
  <c r="AZ342" i="1"/>
  <c r="BL342" i="1" s="1"/>
  <c r="BJ341" i="1"/>
  <c r="AZ341" i="1"/>
  <c r="BK341" i="1" s="1"/>
  <c r="BL341" i="1" s="1"/>
  <c r="AZ340" i="1"/>
  <c r="BK340" i="1" s="1"/>
  <c r="BL340" i="1" s="1"/>
  <c r="BJ339" i="1"/>
  <c r="AZ339" i="1"/>
  <c r="BJ338" i="1"/>
  <c r="AZ338" i="1"/>
  <c r="BJ337" i="1"/>
  <c r="BJ331" i="1" s="1"/>
  <c r="AZ337" i="1"/>
  <c r="AZ336" i="1"/>
  <c r="AZ334" i="1"/>
  <c r="BK334" i="1" s="1"/>
  <c r="AZ333" i="1"/>
  <c r="BK333" i="1" s="1"/>
  <c r="AV332" i="1"/>
  <c r="AZ332" i="1" s="1"/>
  <c r="BK336" i="1" l="1"/>
  <c r="BL336" i="1" s="1"/>
  <c r="BL350" i="1"/>
  <c r="BK338" i="1"/>
  <c r="BL338" i="1" s="1"/>
  <c r="BL334" i="1"/>
  <c r="BK337" i="1"/>
  <c r="BL337" i="1" s="1"/>
  <c r="BL333" i="1"/>
  <c r="BK332" i="1"/>
  <c r="AZ331" i="1"/>
  <c r="AV331" i="1"/>
  <c r="BK339" i="1"/>
  <c r="BL339" i="1" s="1"/>
  <c r="BL349" i="1"/>
  <c r="AV292" i="1"/>
  <c r="AV291" i="1" s="1"/>
  <c r="AV262" i="1"/>
  <c r="AV209" i="1"/>
  <c r="AZ209" i="1" s="1"/>
  <c r="AV179" i="1"/>
  <c r="AV149" i="1"/>
  <c r="AV123" i="1"/>
  <c r="AZ123" i="1" s="1"/>
  <c r="BK123" i="1" s="1"/>
  <c r="AV66" i="1"/>
  <c r="AV52" i="1"/>
  <c r="BL123" i="1" l="1"/>
  <c r="BL332" i="1"/>
  <c r="BK331" i="1"/>
  <c r="BL331" i="1" s="1"/>
  <c r="I209" i="1" l="1"/>
  <c r="AZ52" i="1"/>
  <c r="AZ42" i="1"/>
  <c r="AZ39" i="1"/>
  <c r="BK39" i="1" s="1"/>
  <c r="AZ38" i="1"/>
  <c r="BK38" i="1" s="1"/>
  <c r="AZ37" i="1"/>
  <c r="BK37" i="1" s="1"/>
  <c r="AZ36" i="1"/>
  <c r="AZ35" i="1"/>
  <c r="BK35" i="1" s="1"/>
  <c r="BL35" i="1" s="1"/>
  <c r="AZ20" i="1"/>
  <c r="AZ19" i="1"/>
  <c r="AZ16" i="1"/>
  <c r="AZ15" i="1"/>
  <c r="AZ14" i="1"/>
  <c r="AZ13" i="1"/>
  <c r="BE34" i="1" l="1"/>
  <c r="AZ34" i="1"/>
  <c r="BK34" i="1" s="1"/>
  <c r="BL34" i="1" s="1"/>
  <c r="BJ68" i="1" l="1"/>
  <c r="BI122" i="1" l="1"/>
  <c r="BH122" i="1" l="1"/>
  <c r="BL110" i="1" l="1"/>
  <c r="BG33" i="1"/>
  <c r="BF234" i="1" l="1"/>
  <c r="BJ66" i="1" l="1"/>
  <c r="BF33" i="1"/>
  <c r="BK296" i="1" l="1"/>
  <c r="BL296" i="1" l="1"/>
  <c r="BL187" i="1" l="1"/>
  <c r="BL186" i="1"/>
  <c r="BC122" i="1" l="1"/>
  <c r="BE66" i="1"/>
  <c r="BA33" i="1" l="1"/>
  <c r="BA122" i="1"/>
  <c r="BD33" i="1" l="1"/>
  <c r="BC33" i="1"/>
  <c r="BB33" i="1"/>
  <c r="AZ291" i="1" l="1"/>
  <c r="BJ248" i="1" l="1"/>
  <c r="AZ248" i="1"/>
  <c r="BJ246" i="1"/>
  <c r="AZ246" i="1"/>
  <c r="BK246" i="1" l="1"/>
  <c r="BL246" i="1" s="1"/>
  <c r="BK248" i="1"/>
  <c r="BL248" i="1" s="1"/>
  <c r="AZ263" i="1"/>
  <c r="AX234" i="1"/>
  <c r="AZ245" i="1"/>
  <c r="BK245" i="1" l="1"/>
  <c r="BL242" i="1" l="1"/>
  <c r="BL297" i="1" l="1"/>
  <c r="AZ151" i="1" l="1"/>
  <c r="AZ184" i="1" l="1"/>
  <c r="BK184" i="1" s="1"/>
  <c r="AZ183" i="1"/>
  <c r="BL183" i="1" l="1"/>
  <c r="BL184" i="1"/>
  <c r="BJ298" i="1"/>
  <c r="AZ298" i="1"/>
  <c r="BL298" i="1" l="1"/>
  <c r="BL42" i="1" l="1"/>
  <c r="AZ189" i="1"/>
  <c r="BK189" i="1" s="1"/>
  <c r="AZ185" i="1"/>
  <c r="BL189" i="1" l="1"/>
  <c r="BL185" i="1"/>
  <c r="BE92" i="1"/>
  <c r="AZ92" i="1"/>
  <c r="BK92" i="1" s="1"/>
  <c r="BL92" i="1" s="1"/>
  <c r="AV122" i="1"/>
  <c r="AZ66" i="1"/>
  <c r="AV12" i="1"/>
  <c r="AV33" i="1" l="1"/>
  <c r="AY12" i="1"/>
  <c r="AY364" i="1" s="1"/>
  <c r="AW12" i="1"/>
  <c r="BE13" i="1" l="1"/>
  <c r="BE14" i="1"/>
  <c r="BE20" i="1"/>
  <c r="BK13" i="1" l="1"/>
  <c r="BK15" i="1"/>
  <c r="BK16" i="1"/>
  <c r="BK14" i="1"/>
  <c r="AZ12" i="1"/>
  <c r="BK20" i="1"/>
  <c r="BI33" i="1" l="1"/>
  <c r="BI331" i="1"/>
  <c r="BI364" i="1" l="1"/>
  <c r="BH331" i="1"/>
  <c r="BH33" i="1" l="1"/>
  <c r="BJ52" i="1" l="1"/>
  <c r="BJ33" i="1" s="1"/>
  <c r="BG364" i="1" l="1"/>
  <c r="BJ279" i="1" l="1"/>
  <c r="BJ278" i="1"/>
  <c r="BJ277" i="1"/>
  <c r="BJ276" i="1"/>
  <c r="BJ275" i="1"/>
  <c r="BJ295" i="1" l="1"/>
  <c r="BJ294" i="1"/>
  <c r="BJ293" i="1"/>
  <c r="BJ292" i="1"/>
  <c r="BJ291" i="1" s="1"/>
  <c r="BJ269" i="1"/>
  <c r="BJ268" i="1"/>
  <c r="BJ267" i="1"/>
  <c r="BJ266" i="1"/>
  <c r="BJ265" i="1"/>
  <c r="BJ264" i="1"/>
  <c r="BJ263" i="1"/>
  <c r="BJ262" i="1"/>
  <c r="BJ234" i="1" s="1"/>
  <c r="BD234" i="1" l="1"/>
  <c r="BD364" i="1" s="1"/>
  <c r="BK263" i="1" l="1"/>
  <c r="AZ130" i="1" l="1"/>
  <c r="BK130" i="1" s="1"/>
  <c r="BL130" i="1" s="1"/>
  <c r="AZ131" i="1"/>
  <c r="BK131" i="1" s="1"/>
  <c r="BL131" i="1" l="1"/>
  <c r="BC234" i="1"/>
  <c r="BC364" i="1" s="1"/>
  <c r="BB234" i="1" l="1"/>
  <c r="BB364" i="1" l="1"/>
  <c r="BA234" i="1" l="1"/>
  <c r="BA364" i="1" l="1"/>
  <c r="AZ99" i="1" l="1"/>
  <c r="BK99" i="1" s="1"/>
  <c r="BL99" i="1" s="1"/>
  <c r="AZ98" i="1"/>
  <c r="BL98" i="1" s="1"/>
  <c r="AZ97" i="1"/>
  <c r="BK97" i="1" s="1"/>
  <c r="BL97" i="1" s="1"/>
  <c r="AZ96" i="1"/>
  <c r="BK96" i="1" s="1"/>
  <c r="BL96" i="1" s="1"/>
  <c r="AZ95" i="1"/>
  <c r="BL95" i="1" s="1"/>
  <c r="AZ94" i="1"/>
  <c r="BK94" i="1" s="1"/>
  <c r="BL94" i="1" s="1"/>
  <c r="AZ93" i="1"/>
  <c r="BK93" i="1" s="1"/>
  <c r="BL93" i="1" s="1"/>
  <c r="AZ268" i="1"/>
  <c r="AZ292" i="1" l="1"/>
  <c r="AX33" i="1"/>
  <c r="AX364" i="1" s="1"/>
  <c r="AW33" i="1" l="1"/>
  <c r="AW364" i="1" s="1"/>
  <c r="BO36" i="1" l="1"/>
  <c r="BO44" i="1"/>
  <c r="BO46" i="1"/>
  <c r="BL38" i="1" l="1"/>
  <c r="BL39" i="1"/>
  <c r="BL37" i="1"/>
  <c r="I359" i="1"/>
  <c r="AZ293" i="1" l="1"/>
  <c r="BK293" i="1" s="1"/>
  <c r="AZ192" i="1" l="1"/>
  <c r="BK192" i="1" s="1"/>
  <c r="BL192" i="1" s="1"/>
  <c r="AZ267" i="1" l="1"/>
  <c r="BL362" i="1" l="1"/>
  <c r="BL245" i="1"/>
  <c r="BL359" i="1" l="1"/>
  <c r="BL263" i="1"/>
  <c r="BH364" i="1"/>
  <c r="AZ276" i="1"/>
  <c r="AZ275" i="1"/>
  <c r="AV234" i="1"/>
  <c r="AV364" i="1" s="1"/>
  <c r="AZ33" i="1"/>
  <c r="AZ364" i="1" l="1"/>
  <c r="AZ295" i="1" l="1"/>
  <c r="BK295" i="1" s="1"/>
  <c r="AZ294" i="1"/>
  <c r="BK294" i="1" s="1"/>
  <c r="BF364" i="1" l="1"/>
  <c r="AZ279" i="1" l="1"/>
  <c r="AZ278" i="1"/>
  <c r="AZ277" i="1"/>
  <c r="AZ269" i="1"/>
  <c r="AZ266" i="1"/>
  <c r="AZ265" i="1"/>
  <c r="AZ264" i="1"/>
  <c r="AZ241" i="1"/>
  <c r="BK241" i="1" s="1"/>
  <c r="AZ240" i="1"/>
  <c r="BK240" i="1" s="1"/>
  <c r="BL240" i="1" s="1"/>
  <c r="AZ182" i="1"/>
  <c r="AZ181" i="1"/>
  <c r="AZ159" i="1"/>
  <c r="BK159" i="1" s="1"/>
  <c r="AZ158" i="1"/>
  <c r="BK158" i="1" s="1"/>
  <c r="AZ157" i="1"/>
  <c r="BK157" i="1" s="1"/>
  <c r="BL157" i="1" s="1"/>
  <c r="AZ156" i="1"/>
  <c r="BK156" i="1" s="1"/>
  <c r="AZ155" i="1"/>
  <c r="BK155" i="1" s="1"/>
  <c r="AZ154" i="1"/>
  <c r="BK154" i="1" s="1"/>
  <c r="BK151" i="1"/>
  <c r="AZ150" i="1"/>
  <c r="BJ71" i="1"/>
  <c r="BL71" i="1" s="1"/>
  <c r="BJ70" i="1"/>
  <c r="BK70" i="1" s="1"/>
  <c r="BJ69" i="1"/>
  <c r="BK68" i="1"/>
  <c r="AZ149" i="1" l="1"/>
  <c r="BK149" i="1" s="1"/>
  <c r="BK150" i="1"/>
  <c r="BL150" i="1" s="1"/>
  <c r="BL181" i="1"/>
  <c r="BL158" i="1"/>
  <c r="BL182" i="1"/>
  <c r="BL241" i="1"/>
  <c r="BL159" i="1"/>
  <c r="I66" i="1"/>
  <c r="I33" i="1" s="1"/>
  <c r="BL68" i="1"/>
  <c r="BK69" i="1"/>
  <c r="BL69" i="1" s="1"/>
  <c r="BK266" i="1"/>
  <c r="BL266" i="1" s="1"/>
  <c r="BL13" i="1"/>
  <c r="BL293" i="1"/>
  <c r="BK264" i="1"/>
  <c r="BL264" i="1" s="1"/>
  <c r="AZ262" i="1"/>
  <c r="BL16" i="1"/>
  <c r="BL151" i="1"/>
  <c r="BL156" i="1"/>
  <c r="BK265" i="1"/>
  <c r="BL265" i="1" s="1"/>
  <c r="BK278" i="1"/>
  <c r="BL278" i="1" s="1"/>
  <c r="BK267" i="1"/>
  <c r="BE292" i="1"/>
  <c r="BE291" i="1" s="1"/>
  <c r="BL153" i="1"/>
  <c r="BL155" i="1"/>
  <c r="BK269" i="1"/>
  <c r="BL269" i="1" s="1"/>
  <c r="BL15" i="1"/>
  <c r="AZ179" i="1"/>
  <c r="BK179" i="1" s="1"/>
  <c r="BL179" i="1" s="1"/>
  <c r="BK277" i="1"/>
  <c r="BL277" i="1" s="1"/>
  <c r="BL154" i="1"/>
  <c r="BK268" i="1"/>
  <c r="BL268" i="1" s="1"/>
  <c r="BK279" i="1"/>
  <c r="BL279" i="1" s="1"/>
  <c r="BL20" i="1"/>
  <c r="BK67" i="1" l="1"/>
  <c r="BL149" i="1"/>
  <c r="BK122" i="1"/>
  <c r="BL267" i="1"/>
  <c r="AZ122" i="1"/>
  <c r="BE122" i="1"/>
  <c r="BE33" i="1"/>
  <c r="BK292" i="1"/>
  <c r="BK291" i="1" s="1"/>
  <c r="BK52" i="1"/>
  <c r="AZ234" i="1"/>
  <c r="BE234" i="1"/>
  <c r="BK262" i="1"/>
  <c r="BK275" i="1"/>
  <c r="BL275" i="1" s="1"/>
  <c r="BK276" i="1"/>
  <c r="BL14" i="1"/>
  <c r="BK234" i="1" l="1"/>
  <c r="BL67" i="1"/>
  <c r="BK66" i="1"/>
  <c r="BL66" i="1" s="1"/>
  <c r="BL292" i="1"/>
  <c r="BK33" i="1"/>
  <c r="BL33" i="1" s="1"/>
  <c r="BL276" i="1"/>
  <c r="BL52" i="1"/>
  <c r="BL262" i="1"/>
  <c r="BL291" i="1"/>
  <c r="BL234" i="1" l="1"/>
  <c r="I122" i="1" l="1"/>
  <c r="BO362" i="1" l="1"/>
  <c r="BO360" i="1" s="1"/>
  <c r="BO179" i="1"/>
  <c r="BO170" i="1"/>
  <c r="BO15" i="1"/>
  <c r="BO16" i="1"/>
  <c r="BO17" i="1"/>
  <c r="BO18" i="1"/>
  <c r="BO21" i="1"/>
  <c r="BO70" i="1" l="1"/>
  <c r="BO69" i="1"/>
  <c r="BO68" i="1"/>
  <c r="BO67" i="1" s="1"/>
  <c r="BO292" i="1"/>
  <c r="BO66" i="1" l="1"/>
  <c r="BO355" i="1" l="1"/>
  <c r="BO354" i="1"/>
  <c r="BO353" i="1"/>
  <c r="BO340" i="1"/>
  <c r="BO333" i="1"/>
  <c r="BO332" i="1"/>
  <c r="BO276" i="1"/>
  <c r="BO275" i="1"/>
  <c r="BO267" i="1"/>
  <c r="BO262" i="1"/>
  <c r="BO263" i="1"/>
  <c r="BO245" i="1"/>
  <c r="BO236" i="1"/>
  <c r="BO253" i="1"/>
  <c r="BO152" i="1"/>
  <c r="BO151" i="1"/>
  <c r="BO149" i="1"/>
  <c r="BO124" i="1"/>
  <c r="BO123" i="1"/>
  <c r="BO92" i="1"/>
  <c r="BO54" i="1"/>
  <c r="BO34" i="1"/>
  <c r="BO35" i="1"/>
  <c r="BO235" i="1" l="1"/>
  <c r="I234" i="1" l="1"/>
  <c r="I364" i="1" s="1"/>
  <c r="BJ364" i="1" l="1"/>
  <c r="BL122" i="1" l="1"/>
  <c r="BE19" i="1"/>
  <c r="BK19" i="1" l="1"/>
  <c r="BL19" i="1" s="1"/>
  <c r="BE12" i="1"/>
  <c r="BE364" i="1" l="1"/>
  <c r="BK364" i="1" s="1"/>
  <c r="BL364" i="1" s="1"/>
  <c r="BK12" i="1"/>
  <c r="BL12" i="1" s="1"/>
</calcChain>
</file>

<file path=xl/sharedStrings.xml><?xml version="1.0" encoding="utf-8"?>
<sst xmlns="http://schemas.openxmlformats.org/spreadsheetml/2006/main" count="3306" uniqueCount="731">
  <si>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</si>
  <si>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</si>
  <si>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</si>
  <si>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</si>
  <si>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</si>
  <si>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</si>
  <si>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</si>
  <si>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</si>
  <si>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</si>
  <si>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</si>
  <si>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</si>
  <si>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</si>
  <si>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</si>
  <si>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</si>
  <si>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</si>
  <si>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</si>
  <si>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</si>
  <si>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</si>
  <si>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Dirección y Coordinación Superior</t>
  </si>
  <si>
    <t>Documento</t>
  </si>
  <si>
    <t>Servicios de Gestión y Financiamiento Externo</t>
  </si>
  <si>
    <t>Servicios de Auditoria Interna</t>
  </si>
  <si>
    <t>Servicios Generales</t>
  </si>
  <si>
    <t xml:space="preserve">Persona </t>
  </si>
  <si>
    <t>Persona</t>
  </si>
  <si>
    <t xml:space="preserve">Documento </t>
  </si>
  <si>
    <t xml:space="preserve">Certificados de constancia de capacitaciones </t>
  </si>
  <si>
    <t>Evento</t>
  </si>
  <si>
    <t xml:space="preserve">Evento </t>
  </si>
  <si>
    <t xml:space="preserve">Registro </t>
  </si>
  <si>
    <t xml:space="preserve">Registro de Comerciantes Individuales </t>
  </si>
  <si>
    <t xml:space="preserve">Registro de Sociedades Extranjeras </t>
  </si>
  <si>
    <t xml:space="preserve">Registro de cancelación de sociedades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</si>
  <si>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</si>
  <si>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</si>
  <si>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</si>
  <si>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</si>
  <si>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</si>
  <si>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</si>
  <si>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</si>
  <si>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</si>
  <si>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</si>
  <si>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Cancelación de acciones </t>
  </si>
  <si>
    <t xml:space="preserve">Certificaciones a usuarios </t>
  </si>
  <si>
    <t xml:space="preserve">Emisión de  edictos </t>
  </si>
  <si>
    <t>Modificación Sociedades extranjeras</t>
  </si>
  <si>
    <t>Registro de marcas, patentes y derechos de autor.</t>
  </si>
  <si>
    <t xml:space="preserve">Registro de nombres comerciales y señales de propaganda </t>
  </si>
  <si>
    <t xml:space="preserve">Registro de renovaciones, traspasos y modificaciones de marcas </t>
  </si>
  <si>
    <t xml:space="preserve">Anualidades de Patentes de invención, modelos de utilidad y diseños industriales </t>
  </si>
  <si>
    <t>Implementación del boletín oficial -BORPI-</t>
  </si>
  <si>
    <t xml:space="preserve">Entidad </t>
  </si>
  <si>
    <t xml:space="preserve">Consultas Técnicas Atendidas </t>
  </si>
  <si>
    <t>Normas consultadas</t>
  </si>
  <si>
    <t xml:space="preserve">Laboratorios de ensayo, calibración y organismos de inspección  beneficiados con servicios de Evaluación inicial, de mantenimiento, ampliación/reducción y de reacreditación de laboratorios </t>
  </si>
  <si>
    <t>Conferencias o Cursos de divulgación y socialización de Reglamentos Técnicos nacionales y regionales</t>
  </si>
  <si>
    <t xml:space="preserve">Recopilación y/o actualización de reglamentos técnicos  nacionales y regionales </t>
  </si>
  <si>
    <t xml:space="preserve">Actividades de capacitación para la implementación o uso de la Guía de Buenas Practicas Reglamentarias </t>
  </si>
  <si>
    <t xml:space="preserve">Importadores y exportadores beneficiados con Resoluciones de Autorización para exportar conjuntamente Decreto 29-89 </t>
  </si>
  <si>
    <t xml:space="preserve">Modificaciones de la resolución de calificación </t>
  </si>
  <si>
    <t xml:space="preserve">Autorización de transferencias </t>
  </si>
  <si>
    <t xml:space="preserve">Autorización de enajenaciones </t>
  </si>
  <si>
    <t xml:space="preserve">Autorización para subcontrataciones entre empresas </t>
  </si>
  <si>
    <t>Cancelación  resoluciones de calificación  Decreto 29-89</t>
  </si>
  <si>
    <t xml:space="preserve">Modificación de usuarios de zonas francas </t>
  </si>
  <si>
    <t xml:space="preserve">Cancelación de usuarios de zonas francas </t>
  </si>
  <si>
    <t xml:space="preserve">Cancelación de zonas francas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</si>
  <si>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</si>
  <si>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</si>
  <si>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</si>
  <si>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</si>
  <si>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</si>
  <si>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</si>
  <si>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</si>
  <si>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</si>
  <si>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PROGRAMA 14: DESARROLLO DE LA MICRO, PEQUEÑA Y MEDIANA EMPRESA </t>
  </si>
  <si>
    <t xml:space="preserve">Precalificación y calificación de nuevas entidades  de servicios financieros en el cumplimiento al Reglamento de Operaciones Financieras </t>
  </si>
  <si>
    <t xml:space="preserve">PROGRAMA 15: ASISTENCIA Y PROTECCIÓN AL CONSUMIDOR Y SUPERVISIÓN DEL COMERCIO INTERNO </t>
  </si>
  <si>
    <t xml:space="preserve">Personas capacitadas </t>
  </si>
  <si>
    <t xml:space="preserve">Asesorías técnicas sobre derechos y obligaciones </t>
  </si>
  <si>
    <t xml:space="preserve">Autorización de libro de quejas </t>
  </si>
  <si>
    <t xml:space="preserve">Resolución de autorización de contratos de adhesión </t>
  </si>
  <si>
    <t xml:space="preserve">Registro y base de datos de quejas recibidas y recepción de expedientes de instrumentos de mediación y pesaje y contratos de Adhesión </t>
  </si>
  <si>
    <t>Resoluciones de dirección e informes</t>
  </si>
  <si>
    <t xml:space="preserve">Reproducción y distribución de material educativo-informativo  </t>
  </si>
  <si>
    <t>Supervisión a proveedores que informan y publican sus productos y servicios que comercializan</t>
  </si>
  <si>
    <t xml:space="preserve">PROGRAMA 99: PARTIDAS NO ASIGNABLES A PROGRAMAS </t>
  </si>
  <si>
    <t xml:space="preserve">Aportes y cuotas a organismos económicos y comerciales </t>
  </si>
  <si>
    <t xml:space="preserve">Aportes a organismos de investigación económica </t>
  </si>
  <si>
    <t xml:space="preserve">Generar las condiciones que permitan la atracción de inversiones para la creación de empleo digno y así promover el desarrollo económico de los guatemaltecos.  </t>
  </si>
  <si>
    <t xml:space="preserve">RESULTADO INSTITUCIONAL </t>
  </si>
  <si>
    <t xml:space="preserve">SIN RESULTADO </t>
  </si>
  <si>
    <t>Administración eficiente de los recursos humanos y materiales asignados al Ministerio de Economía en el presupuesto de Ingresos y Gastos del Estado</t>
  </si>
  <si>
    <t>Acciones</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</si>
  <si>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</si>
  <si>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</si>
  <si>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</si>
  <si>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</si>
  <si>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</si>
  <si>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</si>
  <si>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</si>
  <si>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REGISTRO DEL MERCADO DE VALORES Y MERCANCÍAS </t>
  </si>
  <si>
    <t xml:space="preserve">Acción </t>
  </si>
  <si>
    <t xml:space="preserve">Actividad </t>
  </si>
  <si>
    <t>REGISTRO DE PRESTADORES DE SERVICIOS DE CERTIFICACIÓN</t>
  </si>
  <si>
    <t>Autorizar, registrar e inscribir a las entidades  prestadoras de servicios  de certificación para promover y facilitar el comercio electrónico a nivel global, regional y nacional  de acuerdo a la  Ley 47-2008 del Congreso de la República.</t>
  </si>
  <si>
    <t xml:space="preserve">REGISTRO DE GARANTÍAS MOBILIARIAS </t>
  </si>
  <si>
    <t xml:space="preserve">Servicios de Registro de Garantías Mobiliarias </t>
  </si>
  <si>
    <t xml:space="preserve"> Servicios de Registro de Patentes Comerciales y Títulos de Propiedad Intelectual.</t>
  </si>
  <si>
    <t xml:space="preserve">REGISTRO DE LA PROPIEDAD INTELECTUAL </t>
  </si>
  <si>
    <t xml:space="preserve"> Promover la competitividad y mejorar los niveles de productividad a nivel nacional. </t>
  </si>
  <si>
    <t>Servicios de Análisis, Diagnósticos y Proyectos para mejorar la Inversión y Competitividad .</t>
  </si>
  <si>
    <t xml:space="preserve">DIRECCIÓN DEL SISTEMA NACIONAL DE LA CALIDAD </t>
  </si>
  <si>
    <t>Dirigir,  coordinar y unificar las actividades y políticas nacionales en materia de fijación de normas y optimización de acciones orientadas a promover la competitividad del país.</t>
  </si>
  <si>
    <t xml:space="preserve"> Servicios de Normalización, Metrología y Acreditación.</t>
  </si>
  <si>
    <t xml:space="preserve">DIRECCIÓN DE PROMOCIÓN A LA COMPETENCIA </t>
  </si>
  <si>
    <t>Analizar el comportamiento de los diferentes mercados de bienes y servicios en el país, analizar la relación comercio y competencia, promover criterios técnicos en esa materia en los tratados y convenios internacionales, así como, realizar campañas de promoción de la cultura de la competencia y proponer un marco legal y una política nacional en la materia . Seguimiento al proceso de aprobación de la Ley de Defensa de la Libre Competencia.</t>
  </si>
  <si>
    <t>Servicios de Capacitación para la Cultura de la Competencia.</t>
  </si>
  <si>
    <t xml:space="preserve">DIRECCIÓN DE SERVICIOS AL COMERCIO Y A LA INVERSIÓN </t>
  </si>
  <si>
    <t xml:space="preserve"> Coordinar las acciones que contribuyan a la agilización de la gestión administrativa, para la eficiente aplicación de las leyes de fomento a la inversión y empleo. Administración Decretos 29-89 y 65-89.</t>
  </si>
  <si>
    <t>Servicios de Calificación y Exoneración Fiscal en la Actividad Exportadora y de Maquila.</t>
  </si>
  <si>
    <t>Atraer Inversión Extranjera Directa como motor de crecimiento y diversificación económica y promover la inserción exitosa de Guatemala en el contexto globalizado del comercio.</t>
  </si>
  <si>
    <t>DIRECCIÓN DE POLÍTICA DE COMERCIO EXTERIOR</t>
  </si>
  <si>
    <t xml:space="preserve">Servicios de Gestión de Financiamiento Externo </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</si>
  <si>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</si>
  <si>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</si>
  <si>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</si>
  <si>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</si>
  <si>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</si>
  <si>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 xml:space="preserve">RESULTADO ESTRATÉGICO </t>
  </si>
  <si>
    <t>Fortalecer el ecosistema de las MIPYMEs y cooperativas para atracción de empleo y desarrollo económico de los guatemaltecos.</t>
  </si>
  <si>
    <t xml:space="preserve">DIRECCIÓN DE SERVICIOS FINANCIEROS EMPRESARIALES </t>
  </si>
  <si>
    <t xml:space="preserve"> Facilitación de recursos y servicios financieros en forma ágil y oportuna dentro de un marco de fomento adecuado con el fin de generar fuentes de trabajo, contribuir a disminuir los índices de pobreza y como un medio para el desarrollo del país. ( Programa Nacional SNIP 3496)</t>
  </si>
  <si>
    <t xml:space="preserve">DIRECCIÓN DE SERVICIOS  DE DESARROLLO EMPRESARIAL </t>
  </si>
  <si>
    <t xml:space="preserve">Promover la calidad en los bienes y servicios para satisfacción del consumidor.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</si>
  <si>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</si>
  <si>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 Servicios de Asistencia, Protección y Educación al Consumidor.</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</si>
  <si>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</si>
  <si>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</si>
  <si>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No.</t>
  </si>
  <si>
    <t>VISIÓN</t>
  </si>
  <si>
    <t>MISIÓN</t>
  </si>
  <si>
    <t>OBJETIVO ESTRATÉGICO</t>
  </si>
  <si>
    <t>Brindar certeza jurídica a través de los servicios registrales que presta el Ministerio de Economía.</t>
  </si>
  <si>
    <t xml:space="preserve">PROGRAMA 11 : SERVICIOS REGISTRALES </t>
  </si>
  <si>
    <t xml:space="preserve">INDICADOR </t>
  </si>
  <si>
    <t xml:space="preserve">Mujeres </t>
  </si>
  <si>
    <t>Búsquedas</t>
  </si>
  <si>
    <t>Actividad: 
VINCULACIÓN INSTITUCIONAL</t>
  </si>
  <si>
    <t xml:space="preserve">Actividad: 
VINCULACIÓN INSTITUCIONAL
</t>
  </si>
  <si>
    <t xml:space="preserve">META VIGENTE  </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</si>
  <si>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</si>
  <si>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REGISTRO MERCANTIL GENERAL DE LA REPÚBLICA</t>
  </si>
  <si>
    <t>PROGRAMA NACIONAL DE COMPETITIVIDAD</t>
  </si>
  <si>
    <t xml:space="preserve">ÓRGANO DE PLANIFICACIÓN, PROYECTOS Y COOPERACIÓN </t>
  </si>
  <si>
    <t>ÓRGANO DE POLÍTICA Y  ANÁLISIS ECONÓMICO</t>
  </si>
  <si>
    <t xml:space="preserve">Auditorias ordinarias a los Prestadores de Servicios de Certificación </t>
  </si>
  <si>
    <r>
      <t xml:space="preserve">AVANCE FÍSICO 1ER. </t>
    </r>
    <r>
      <rPr>
        <b/>
        <sz val="9"/>
        <color indexed="8"/>
        <rFont val="Times New Roman"/>
        <family val="1"/>
      </rPr>
      <t xml:space="preserve">CUATRIMESTRE </t>
    </r>
  </si>
  <si>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</si>
  <si>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</si>
  <si>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Divulgación a través de medios de comunicación  para promover los servicios del Registro de Prestadores de Servicios de Certificación y Firma Electrónica</t>
  </si>
  <si>
    <t xml:space="preserve">Análisis, métodos y procedimientos evaluados y acreditados </t>
  </si>
  <si>
    <t xml:space="preserve">Calibraciones de instrumentos de medición </t>
  </si>
  <si>
    <t xml:space="preserve">Actividades  de capacitación y formación del Centro Nacional de Metrología </t>
  </si>
  <si>
    <t>Información  a  entidades sobre los requisitos, procedimientos, beneficios y obligaciones que conllevan los Decretos 29-89 y 65-89</t>
  </si>
  <si>
    <t xml:space="preserve">PROGRAMA APOYO AL EMPLEO DIGNO EN GUATEMALA </t>
  </si>
  <si>
    <t xml:space="preserve">Generación de competitividad y emprendimiento para jóvenes </t>
  </si>
  <si>
    <t xml:space="preserve">Información y seguimiento a los recursos de cooperación internacional </t>
  </si>
  <si>
    <t xml:space="preserve">Informes cuatrimestrales </t>
  </si>
  <si>
    <t xml:space="preserve">Memoria de Actividades </t>
  </si>
  <si>
    <t xml:space="preserve">Modificaciones de metas físicas </t>
  </si>
  <si>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</si>
  <si>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</si>
  <si>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</si>
  <si>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</si>
  <si>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</si>
  <si>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</si>
  <si>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 xml:space="preserve">Empresario de Micro, pequeña y mediana empresa beneficiados con servicios  financieros </t>
  </si>
  <si>
    <t xml:space="preserve">Verificación de certificados de Calibración de instrumentos de medición y pesaje </t>
  </si>
  <si>
    <t xml:space="preserve">EJECUCIÓN PRESUPUESTARIA Y  DE METAS FÍSICAS EN FUNCIÓN DEL PRESUPUESTO VIGENTE </t>
  </si>
  <si>
    <t>Hombres</t>
  </si>
  <si>
    <t>Facilitación de recursos y servicios financieros en forma ágil y oportuna dentro de un marco de fomento adecuado con el fin de generar fuentes de trabajo, contribuir a disminuir los índices de pobreza y como un medio para el desarrollo del país.</t>
  </si>
  <si>
    <t>Aumentar la competitividad, fortalecer, la participación e inserción en el  mercado y facilitar  el acceso hacia nuevos mercados para la microempresa, pequeña y mediana empresa, así como estimular el desarrollo gerencial, empresarial, técnico tecnológico, de organización y comercialización de las empresas del sector.</t>
  </si>
  <si>
    <t>Eventos de difusión que apoyen la mejora del clima de negocios en Guatemala</t>
  </si>
  <si>
    <t xml:space="preserve">                                                             </t>
  </si>
  <si>
    <t>Protección, estímulo y fomento de la actividad intelectual que tienen aplicación en el campo de la industria y el comercio  y en participar a lo relativo a la adquisición, mantenimiento y protección de los signos distintivos, de las patentes de invención, y de los modelos de utilidad de los diseños industriales, así como la protección de los secretos empresariales y disposiciones relacionadas con el combate de la competencia desleal, en cumplimiento de la Ley de Propiedad Industrial y Ley de Derechos de Autor y Derechos Conexos y sus Modificaciones.</t>
  </si>
  <si>
    <t>Diseño y negociación de acuerdos comerciales, impulsar el adecuado proceso de integración económica centroamericana  y promover la expansión de la base exportable, así como coordinar con la Misión de Guatemala ante la Organización Mundial del Comercio -OMC- .</t>
  </si>
  <si>
    <t>Control de la juridicidad  y registro de los actos que realicen y contratos que celebren las personas que intervienen en  los mercados bursátil y extrabursátil. Decreto 34-96  y su Reglamento.</t>
  </si>
  <si>
    <t>Aplicación de procedimientos ágiles, seguros y de forma electrónica a efecto de proporcionar al usuario certeza jurídica en la Inscripción,  modificación, cancelación y ejecución  de Garantía Mobiliaria y consecuentemente la publicidad de las mismas, de acuerdo a la 51-2007 del Congreso de la República.</t>
  </si>
  <si>
    <t xml:space="preserve">Centralizar y coordinar el desarrollo de los programas y proyectos de cooperación internacional, así como la  coordinación de la gestión y negociación de nuevos recursos. </t>
  </si>
  <si>
    <t xml:space="preserve">Servicios de Registro e Inscripción en el Mercado de Valores </t>
  </si>
  <si>
    <t>Personas individuales y jurídicas beneficiadas con  servicios de registro de  patentes comerciales y títulos de propiedad intelectual</t>
  </si>
  <si>
    <t>Identificación y contacto de potenciales inversionistas</t>
  </si>
  <si>
    <t xml:space="preserve">Acompañamiento a las empresas en sus procesos de  reinversión en el país </t>
  </si>
  <si>
    <t xml:space="preserve">Identificar y analizar brechas de competitividad y  proponer acciones que apoyen la reducción de las mismas </t>
  </si>
  <si>
    <t xml:space="preserve">Eventos  que apoyen la mejora de la competitividad en Guatemala </t>
  </si>
  <si>
    <t>Asesoría técnica en trámites o procesos administrativos para el apoyo en el fortalecimiento de la productividad, competitividad y clima de negocios</t>
  </si>
  <si>
    <t xml:space="preserve">Autorización de Complementariedad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</si>
  <si>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</si>
  <si>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</si>
  <si>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</si>
  <si>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</si>
  <si>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Servicios Financieros a la Micro, Pequeña y Mediana Empresa</t>
  </si>
  <si>
    <t xml:space="preserve">Servicios de Asistencia Técnica en Desarrollo Empresarial a la Micro, Pequeña y Mediana Empresa </t>
  </si>
  <si>
    <t xml:space="preserve">Servicios de apoyo Técnico a Mujeres Microempresarias para el Empoderamiento Económico
 Eje: Seguridad alimentaria,, salud integral y educación para todas y todos.  R: Para el 2019, la brecha entres los grupos de población urbano/rural disminuyó a la mitad en el índice de desarrollo humano.  Línea base  0.174 (2011. Naciones Unidas) Meta 0.087  (2019)
</t>
  </si>
  <si>
    <t xml:space="preserve">Servicios de Apoyo en la Producción y Comercialización Artesanal
Eje: Seguridad alimentaria,, salud integral y educación para todas y todos.  R: Para el 2019, la brecha entre los grupos de población indígena/no indígena se redujo  a la mitad en el índice de desarrollo humano.. -Línea base  0.146 (2011. Naciones Unidas) Meta 0.073  (2019)
</t>
  </si>
  <si>
    <t xml:space="preserve">Consumidores beneficiados con servicios de asistencia, protección y educación sobre sus derechos y obligaciones </t>
  </si>
  <si>
    <t xml:space="preserve">Asesorías en el tema de gestión de Cooperación Internacional </t>
  </si>
  <si>
    <t>Negociación de Acuerdos Comerciales Internacionales y Promoción de la Integración Económica</t>
  </si>
  <si>
    <t>Análisis y estadísticas económicas y comerciales por socio comercial o región, producto, regímenes especiales, sectores o clasificaciones económicas</t>
  </si>
  <si>
    <t>Servicios de Certificación y Firma Electrónica</t>
  </si>
  <si>
    <t>0</t>
  </si>
  <si>
    <t xml:space="preserve">Programa nacional participativo, facilitador de los esfuerzos y alianzas interinstitucionales entre sectores de la sociedad, públicos y privados, para hacer de Guatemala un país competitivo, que genere inversión contribuyendo a su desarrollo integral y sostenible, así como a la prosperidad de sus habitantes. </t>
  </si>
  <si>
    <r>
      <t>PROGRAMA 12: PROMOCIÓN DE LA INVERSIÓN Y COMPETENCIA</t>
    </r>
    <r>
      <rPr>
        <b/>
        <sz val="14"/>
        <color theme="0"/>
        <rFont val="Candara"/>
        <family val="2"/>
      </rPr>
      <t xml:space="preserve"> </t>
    </r>
  </si>
  <si>
    <t>Resoluciones, notificaciones y edictos</t>
  </si>
  <si>
    <t>Para el 2025, se ha incrementado a 251,885 el número de personas individuales y jurídicas beneficiadas con servicios registrales (Línea base de 120,008 en 2019 a 251,885 en 2025)</t>
  </si>
  <si>
    <t>Seguimiento  a potenciales inversionistas,  generación de agendas  hechas a la medida y acompañamiento durante la visita en el País.</t>
  </si>
  <si>
    <t>Actualización de la información sobre la Dirección del Sistema Nacional de la Calidad respecto a normas y procedimientos de evaluación  de la conformidad, calibraciones y reglamentos técnicos.</t>
  </si>
  <si>
    <t xml:space="preserve">Inspección y verificación de instrumentos de medición. </t>
  </si>
  <si>
    <t>Actividades de promoción y divulgación de la Dirección del Sistema Nacional de la Calidad en materia de Congreso de Calidad, Metrología, Acreditación y Normalización.</t>
  </si>
  <si>
    <t>Para el 2025, se ha incrementado a 16,160 los certificados de adjudicación, resoluciones de proceso de verificación y notificaciones en materia comercial, en el marco de la administración de los acuerdos comerciales vigentes (Línea base de 4,324 en 2019 a 16,160 en 2025)</t>
  </si>
  <si>
    <t>Para el 2025, se ha incrementado en 42.0 puntos porcentuales el número de consumidores y usuarios atendidos sobre sus derechos y obligaciones (Línea base de 40,377 en 2019 a 57,432 en 2025)</t>
  </si>
  <si>
    <t>Tasa de crecimiento de la  Inversión Extranjera Directa</t>
  </si>
  <si>
    <t xml:space="preserve">Tasa  de personas individuales y jurídicas beneficiadas con servicios registrales simplificados y automatizados  </t>
  </si>
  <si>
    <t xml:space="preserve"> Número de certificados de adjudicación, resoluciones de proceso de verificación y notificaciones en  materia comercial emitidos.</t>
  </si>
  <si>
    <t xml:space="preserve">Número de  créditos  y servicios de desarrollo empresarial  al sector de la micro, pequeña y mediana empresa, mujeres empresarias y artesanos.  </t>
  </si>
  <si>
    <t>Tasa de atención de los derechos y obligaciones del consumidor.</t>
  </si>
  <si>
    <t xml:space="preserve">SEGUIMIENTO MENSUAL Y CUATRIMESTRAL DE EJECUCIÓN DE METAS FÍSICAS </t>
  </si>
  <si>
    <t xml:space="preserve">  </t>
  </si>
  <si>
    <t xml:space="preserve">UNIDAD DE APOYO AL COMERCIO EXTERIOR Y LA INTEGRACIÓN </t>
  </si>
  <si>
    <t>Cooperativas, fundaciones, asociaciones y bancos con proyectos de asistencia financiera para beneficiar a micros, pequeños y medianos empresarios</t>
  </si>
  <si>
    <t>Jóvenes capacitados y certificados en formación profesional de emprendimiento e innovación de MIPYMES en crecimiento, con énfasis en mujeres y discapacitados</t>
  </si>
  <si>
    <t xml:space="preserve">Instituciones públicas y privadas capacitadas para el fortalecimiento del funcionamiento, estructuración y operativización para crear empleo digno a jóvenes vulnerables </t>
  </si>
  <si>
    <t xml:space="preserve">        MINISTERIO DE ECONOMÍA 
MATRIZ DE PLANIFICACIÓN, POA 2025</t>
  </si>
  <si>
    <t xml:space="preserve">Usuarios internos y externos beneficiados con procesos formativos y asesorías con perspectiva de género, pueblos indígenas y discapacidad </t>
  </si>
  <si>
    <t>EJECUCIÓN MENSUAL, CUATRIMESTRAL Y ANUAL,  POA 2025</t>
  </si>
  <si>
    <t>PRESUPUESTO VIGENTE 2025     EN  Q.</t>
  </si>
  <si>
    <t>PRESUPUESTO VIGENTE 2025  EN  Q.</t>
  </si>
  <si>
    <t xml:space="preserve">Resoluciones y certificado de inscripción correspondiente al primer registro en el mercado de valores </t>
  </si>
  <si>
    <t>Resoluciones y certificado de mantenimiento de vigencia de inscripción de emisiones bursátiles y  extrabursátiles</t>
  </si>
  <si>
    <t>Resoluciones y certificado de mantenimiento de vigencia de agentes</t>
  </si>
  <si>
    <t>Resoluciones y certificado de mantenimiento de vigencia de calificadoras de riesgo</t>
  </si>
  <si>
    <t>Resoluciones y certificado de toma de razón de cumplimiento de miembros de comité</t>
  </si>
  <si>
    <t>Resoluciones y certificado de toma de razón de cumplimiento de personeros y operadores de los agentes</t>
  </si>
  <si>
    <t>Resoluciones y certificado de toma de razón de cumplimiento de presentación de reporte mensual de movimiento de fondos de inversión</t>
  </si>
  <si>
    <t xml:space="preserve">Resoluciones e Informes de razonabilidad de la exactitud y veracidad de los informes y documentos de los agentes de valores </t>
  </si>
  <si>
    <t xml:space="preserve">Resoluciones e Informes de razonabilidad de la exactitud y veracidad de los informes y documentos de los emisores </t>
  </si>
  <si>
    <t xml:space="preserve">Personas individuales y  jurídicas beneficiadas con servicios  de registro e inscripción en el  mercado de valores </t>
  </si>
  <si>
    <t>PRESUPUESTO VIGENTE 2025      EN  Q.</t>
  </si>
  <si>
    <t>Inscripción de Modificación de Garantía Mobiliaria</t>
  </si>
  <si>
    <t xml:space="preserve">Consultas  </t>
  </si>
  <si>
    <t xml:space="preserve">Inscripción  de cancelación   de Garantía Mobiliaria </t>
  </si>
  <si>
    <t xml:space="preserve">Inscripción  de Ejecución de Garantía Mobiliaria </t>
  </si>
  <si>
    <t>Certificaciones de Inscripciones de Garantía Mobiliaria</t>
  </si>
  <si>
    <t xml:space="preserve">Promoción y divulgación de los servicios registrales </t>
  </si>
  <si>
    <t xml:space="preserve">Personas individuales y jurídicas beneficiadas con servicios  de registro garantías mobiliarias </t>
  </si>
  <si>
    <t>PRESUPUESTO VIGENTE 2025    EN  Q.</t>
  </si>
  <si>
    <t xml:space="preserve">Personas individuales y jurídicas beneficiadas con  servicios de registro de  patentes comerciales y títulos de propiedad intelectual </t>
  </si>
  <si>
    <t xml:space="preserve">Personas individuales y jurídicas beneficiadas con patentes de inscripción de sociedades nacionales,  comerciante individual y empresas mercantiles </t>
  </si>
  <si>
    <t>Registro de Sociedades Nacionales y Patentes electrónicas</t>
  </si>
  <si>
    <t>Registro de Empresas Mercantiles y Patentes electrónicas</t>
  </si>
  <si>
    <t>Publicaciones en boletín electrónico del Registro Mercantil</t>
  </si>
  <si>
    <t xml:space="preserve">Personas individuales y jurídicas beneficiadas con títulos de derechos de propiedad intelectual </t>
  </si>
  <si>
    <t>¨Registro</t>
  </si>
  <si>
    <t xml:space="preserve">Emisión de Resoluciones de aprobación para continuar como Prestador de Servicios de Certificación en Guatemala </t>
  </si>
  <si>
    <t xml:space="preserve">Publicación de Resoluciones de aprobación para continuar como Prestador de Servicios de Certificación en Guatemala </t>
  </si>
  <si>
    <t xml:space="preserve">Personas capacitadas en materia de firma electrónica avanzada para instituciones públicas y privadas, así como organizaciones campesinas y grupos étnicos organizados </t>
  </si>
  <si>
    <t xml:space="preserve">Entidades beneficiadas con asistencia técnica para la mejora de la productividad y competitividad 
</t>
  </si>
  <si>
    <t>Entidades asesoradas para el fomento y atracción de inversión y reinversión al país</t>
  </si>
  <si>
    <t xml:space="preserve">Acompañamiento a los inversionistas extranjeros durante el  proceso de instalación de proyectos </t>
  </si>
  <si>
    <t>Divulgación de información durante los eventos de promoción  para la atracción de inversión o reinversión</t>
  </si>
  <si>
    <t xml:space="preserve">Entidades beneficiadas con propuestas de proyectos y / o automatización de sus procesos para la mejora del sector productivo o la mejora en el clima de negocios  </t>
  </si>
  <si>
    <t xml:space="preserve">Elaboración o análisis de propuestas de iniciativas de ley, reglamentos, manuales y/o convenios enfocados a la mejora en el clima de negocios </t>
  </si>
  <si>
    <t xml:space="preserve">Entidades beneficiadas con la implementación de un sistema marco de productividad y competitividad para beneficio de sectores productivos </t>
  </si>
  <si>
    <t xml:space="preserve">Entidades beneficiadas con acciones para la mejora de la productividad, innovación, desarrollo empresarial y/o clima de negocios </t>
  </si>
  <si>
    <t>Entidades nacionales beneficiadas con divulgación de herramientas económicas para el desarrollo empresarial</t>
  </si>
  <si>
    <t xml:space="preserve">Certificados, normas y registros emitidos a entidades privadas, públicas y académicas  para promover la adopción de prácticas de gestión de la calidad </t>
  </si>
  <si>
    <t xml:space="preserve">Certificados de acreditación de laboratorios de ensayo y calibración, análisis clínicos a organismos de inspección y certificación </t>
  </si>
  <si>
    <t>Certificados e informes de calibración para beneficio de entidades públicas privadas y académicas</t>
  </si>
  <si>
    <t xml:space="preserve">Certificados y normas técnicas adoptadas y elaboradas para beneficio de entidades públicas, privadas y académicas </t>
  </si>
  <si>
    <t xml:space="preserve">Personas capacitadas  e informadas  sobre  los beneficios económicos de la competencia en  los mercados y en  la competitividad del país </t>
  </si>
  <si>
    <t>Personas capacitadas  e informadas  sobre  los beneficios económicos de la competencia en  los mercados y en  la competitividad del país</t>
  </si>
  <si>
    <t>Diseño, formulación y elaboración de foros, capacitaciones y conferencias de discusión académica y técnica que amplifiquen el conocimiento sobre las virtudes de la competencia</t>
  </si>
  <si>
    <t>Diseño y formulación de documentos técnicos, revistas, boletines y estudios en materia de competencia, así como la elaboración y exploración de estudios de mercado de bienes y/o servicios, relacionados con la competencia.</t>
  </si>
  <si>
    <t>Inversión Q. Empleo:   empleos</t>
  </si>
  <si>
    <t xml:space="preserve">Empresas importadoras y exportadoras beneficiadas con exoneraciones fiscales por resoluciones de calificación </t>
  </si>
  <si>
    <t xml:space="preserve">Jóvenes capacitados y certificados en formación profesional de emprendimiento e innovación, con énfasis en mujeres y discapacitados </t>
  </si>
  <si>
    <t xml:space="preserve">Empresas importadoras y exportadoras beneficiadas con exoneraciones fiscales por resoluciones de calificación  de la actividad exportadora y maquila </t>
  </si>
  <si>
    <t>Empresas Importadoras y exportadoras beneficiadas  con exoneraciones fiscales por resoluciones de calificación, zonas francas</t>
  </si>
  <si>
    <t xml:space="preserve">Entidades con procesos de verificación y seguimiento para el cumplimiento de las obligaciones por resoluciones de calificación Decretos 29-89 y 65-89 </t>
  </si>
  <si>
    <t>Personas beneficiadas con capacidades técnicas para la formalización laboral e incrementar las oportunidades de acceso a un empleo</t>
  </si>
  <si>
    <t>Acuerdos y  convenios comerciales negociados y  suscritos para beneficio del sector exportador a nivel región.</t>
  </si>
  <si>
    <t>Acuerdos y  convenios comerciales  suscritos a través de las negociaciones comerciales con diferentes países a nivel región.</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</si>
  <si>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</si>
  <si>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</si>
  <si>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</si>
  <si>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Informes de  gestión  en el  marco de los acuerdos ante la Organización Mundial del Comercio (OMC), para beneficio del sector empresarial en el Ginebra, Suiza. </t>
  </si>
  <si>
    <t>Ferias y misiones en beneficio de empresarios exportadores para el desarrollo comercial a nivel región.</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</si>
  <si>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</si>
  <si>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</si>
  <si>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</si>
  <si>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Documentos para la prevención y  solución de controversias comerciales internacionales, en el marco de la Organización Mundial del Comercio, Tratados de libre comercio vigentes y la Integración Centroamericana a nivel región.</t>
  </si>
  <si>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</si>
  <si>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</si>
  <si>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t xml:space="preserve">Aplicación de acuerdos comerciales internacionales vigentes para Guatemala, a beneficio de productores, exportadores, importadores y la recaudación tributaria </t>
  </si>
  <si>
    <t>Análisis de la actividad económica y de comercio exterior de Guatemala</t>
  </si>
  <si>
    <t>Revisión,  autorización y seguimiento de desembolsos de préstamos otorgados a entidades de servicios financieros al sector de la MIPYME.</t>
  </si>
  <si>
    <t>Supervisión  y seguimiento de la utilización de los fondos del financiamiento otorgados a entidades de servicios financieros ejecución de los préstamos orientados a la asistencia financiera.</t>
  </si>
  <si>
    <t xml:space="preserve">Entes de microfinanzas  sin fines de lucro beneficiados  certeza jurídica para otorgamiento de microcréditos </t>
  </si>
  <si>
    <t xml:space="preserve">Registro por créditos y retornos de capital a micro, pequeños y medianos empresarios beneficiados con servicios financieros </t>
  </si>
  <si>
    <t xml:space="preserve">Empresario de Micro, pequeña y mediana empresa beneficiados con créditos para  desarrollo empresarial y proyectos
</t>
  </si>
  <si>
    <t xml:space="preserve">Personas beneficiadas con capacitaciones en servicios de desarrollo empresarial a nivel nacional </t>
  </si>
  <si>
    <t xml:space="preserve">Micros, pequeñas y medianas empresas beneficiadas con asistencia técnica en servicios de desarrollo empresarial a nivel nacional </t>
  </si>
  <si>
    <t>Micros, pequeñas y medianas empresas beneficiadas con asesoría en servicios de desarrollo empresarial a nivel nacional</t>
  </si>
  <si>
    <t xml:space="preserve">Micros, pequeñas y medianas empresas beneficiadas con vinculaciones comerciales para el desarrollo económico nacional </t>
  </si>
  <si>
    <t>Organizaciones públicas y privadas de la red nacional de emprendimiento beneficiadas con asistencia técnica en cultura emprendedora</t>
  </si>
  <si>
    <t xml:space="preserve">Mujeres empresarias capacitadas y con asistencia técnica en servicios de desarrollo  empresarial  </t>
  </si>
  <si>
    <t xml:space="preserve">Mujeres empresarias capacitadas en servicios de desarrollo  empresarial </t>
  </si>
  <si>
    <t xml:space="preserve">Mujeres empresarias con asistencia técnica en servicios de desarrollo  empresarial  </t>
  </si>
  <si>
    <t xml:space="preserve">Artesanos beneficiados con capacitación y asistencia técnica para mejorar la calidad, diseño en producción y comercialización artesanal </t>
  </si>
  <si>
    <t xml:space="preserve">Organizaciones de artesanos incorporados al sector formal </t>
  </si>
  <si>
    <t>PRESUPUESTO VIGENTE 2025   EN  Q.</t>
  </si>
  <si>
    <t>Personas capacitadas en servicios financieros</t>
  </si>
  <si>
    <t>Resolución de quejas de distintas actividades económicas</t>
  </si>
  <si>
    <t>Resolución de quejas de servicios financieros</t>
  </si>
  <si>
    <t>Eventos de promoción  de los derechos de los consumidores y obligaciones de los proveedores</t>
  </si>
  <si>
    <t>Feria de Educación Financiera</t>
  </si>
  <si>
    <t>Población orientada a través de la información brindada a los medios de comunicación de las acciones de DIACO.</t>
  </si>
  <si>
    <t xml:space="preserve">Consumidores y usuarios capacitados sobre derechos  y obligaciones  
</t>
  </si>
  <si>
    <t xml:space="preserve">Empresas beneficiadas con resoluciones de autorización de instrumentos de control  </t>
  </si>
  <si>
    <t xml:space="preserve">Consumidores y usuarios beneficiados con servicios de  atención y resolución de quejas </t>
  </si>
  <si>
    <t xml:space="preserve">Consumidores y usuarios informados sobre derechos y obligaciones en materia de consumo   </t>
  </si>
  <si>
    <t xml:space="preserve">Supervisión a proveedores para el cumplimiento de sus obligaciones </t>
  </si>
  <si>
    <t xml:space="preserve">Supervisión a proveedores que comercializan combustibles y gas propano (GLP) en cumplimiento del Plan Centinela  </t>
  </si>
  <si>
    <t>Para el 2025, se ha incrementado en US$ 333.55 millones el flujo de inversión extranjera directa al país,  por la mejora por la mejora de la competitividad y  clima de negocios a nivel nacional. (Línea base de US$ 1,261.80 millones en 2021 a US$ 1,595.35 millones en 2025).</t>
  </si>
  <si>
    <t xml:space="preserve">ODS 8:Prioridad 4  Metas Estratégicas de Desarrollo 
</t>
  </si>
  <si>
    <t>Promover el crecimiento económico sostenido, inclusivo y sostenible, el empleo pleno y productivo y el trabajo decente para todos.
Empleo e inversión :MED 6 :En 2032 el crecimiento del PIB real ha sido paulatino y sostenido, hasta alcanzar una tasa no menor del 5.4% a 2032: a) Rango entre 3.4 y 4.4% en el quinquenio 2015-2020 b) Rango entre 4.4 y 5.4% en el quinquenio 2021-2025 . c) No menor del 5.4% en los siguientes años, hasta llegar a 2032.</t>
  </si>
  <si>
    <t xml:space="preserve">ODS 8: Prioridad 4 Metas Estratégicas de Desarrollo 
</t>
  </si>
  <si>
    <t>Se ha reducido la precariedad laboral mediante la generación  de empleos decentes y de calidad: a)subempleo a partir del ultimo dato disponible: 16.9 % b) informalidad : 69.2 %. c) desempleo: 3.2 % d. eliminación el % de trabajadores que viven en pobreza extrema.
Para el 2029, se ha incrementado en 3.7 puntos porcentuales la formalidad del empleo   ( de 32.3% en 2021 a 36.0% en 2029).</t>
  </si>
  <si>
    <t>Promover el crecimiento económico sostenido, inclusivo y sostenible, el empleo pleno y productivo y el trabajo decente para todos. Empleo e inversión : MED 7 :Se ha reducido la precariedad laboral mediante la generación de empleos decentes y de calidad. MED 8 : Para el 2030, elaborar y poner en práctica políticas encaminadas a promover un turismo sostenible que cree puestos de trabajo y promueva la cultura  y los productos locales.</t>
  </si>
  <si>
    <t>Para el 2025,  se ha incrementado en 193,443  los empresarios de MIPYMES,  emprendedores,  mujeres microempresarias y artesanos, beneficiados con acceso a créditos y servicios de desarrollo empresarial .(Línea base 28,484 en 2019 a 193,443, en el 2025).</t>
  </si>
  <si>
    <t>Divulgación de las ofertas de Cooperación internacional  a diferentes dependencias del MINECO</t>
  </si>
  <si>
    <t>Negociación de acuerdos para formalizar los instrumentos de  cooperación internacional</t>
  </si>
  <si>
    <t xml:space="preserve">Propuesta  y/o requerimiento de proyectos de cooperación internacional  a presentar a contrapartes </t>
  </si>
  <si>
    <t>Informes mensuales de avance de programas y proyectos de cooperación internacional vigentes, en ejecución y en fase de cierre</t>
  </si>
  <si>
    <t xml:space="preserve">Capacitación sobre proyectos de cooperación internacional </t>
  </si>
  <si>
    <t xml:space="preserve">Seguimiento de evaluación de cumplimiento de metas físicas </t>
  </si>
  <si>
    <t>Elaboración del  Plan Estratégico Institucional, Multianual y Anual</t>
  </si>
  <si>
    <t xml:space="preserve">Capacitación para fortalecimiento de control interno y la identificación de riesgos </t>
  </si>
  <si>
    <t>(-) 7000</t>
  </si>
  <si>
    <t>(-) 10778</t>
  </si>
  <si>
    <t>(-) 32000</t>
  </si>
  <si>
    <t>(-) 49,778</t>
  </si>
  <si>
    <t>(-) 5000</t>
  </si>
  <si>
    <t>(-) 54,778</t>
  </si>
  <si>
    <t>(-) 186</t>
  </si>
  <si>
    <t xml:space="preserve">(-) 5 </t>
  </si>
  <si>
    <t>(-) 4</t>
  </si>
  <si>
    <t>(-)1150</t>
  </si>
  <si>
    <t>(-) 1</t>
  </si>
  <si>
    <t>2</t>
  </si>
  <si>
    <t xml:space="preserve">Prestadores de servicio de certificación y firma electrónica beneficiadas con certeza jurídica </t>
  </si>
  <si>
    <t>1</t>
  </si>
  <si>
    <t>(-) 14</t>
  </si>
  <si>
    <t>3</t>
  </si>
  <si>
    <t>Mujeres</t>
  </si>
  <si>
    <t xml:space="preserve">Hombres </t>
  </si>
  <si>
    <r>
      <rPr>
        <b/>
        <sz val="14"/>
        <color theme="0"/>
        <rFont val="Times New Roman"/>
        <family val="1"/>
      </rPr>
      <t>PROGRAMA 1 :ACTIVIDADES CENTRALES</t>
    </r>
    <r>
      <rPr>
        <b/>
        <sz val="14"/>
        <color theme="0"/>
        <rFont val="Candara"/>
        <family val="2"/>
      </rPr>
      <t xml:space="preserve"> </t>
    </r>
  </si>
  <si>
    <t xml:space="preserve">                                                                               EJECUCIÓN MENSUAL, CUATRIMESTRAL Y ANUAL,  POA 2025</t>
  </si>
  <si>
    <t>(+)  77</t>
  </si>
  <si>
    <t>(+)  72</t>
  </si>
  <si>
    <t>(-)328</t>
  </si>
  <si>
    <t>5</t>
  </si>
  <si>
    <t>Informe de evaluación del Plan Estratégico Institucional -PEI-</t>
  </si>
  <si>
    <t>Fortalecimientos a entidades de servicios financieros para el cumplimiento de los requisitos establecidos en el  reglamento de operaciones financieras.</t>
  </si>
  <si>
    <t>479</t>
  </si>
  <si>
    <t>242</t>
  </si>
  <si>
    <t>(-) -13825</t>
  </si>
  <si>
    <t>(-) 157</t>
  </si>
  <si>
    <t>100%</t>
  </si>
  <si>
    <t xml:space="preserve">MODIFICACION CLASE INTRA 1   RESOLUCION 65-2025 DEL 10/02/2025 AG DE PRESUPUESTO -2025 DEL 2/2025 MEMORANDUM 14  RESOLUCIN INTERNA PLANI 2,3,5,6 ACUERDO FINANZAS 34-2025 DEL 28/02/2025 </t>
  </si>
  <si>
    <t>MODIFICACION INICIAL DE METAS  INTRA 2    148-2025 DEL 12/03/2025 MEMO 27</t>
  </si>
  <si>
    <t>(+)1292</t>
  </si>
  <si>
    <t>(+)42</t>
  </si>
  <si>
    <t>(+)2950</t>
  </si>
  <si>
    <t>(-)75</t>
  </si>
  <si>
    <t>(-)1,150</t>
  </si>
  <si>
    <t>(-)1225</t>
  </si>
  <si>
    <t>(+)76</t>
  </si>
  <si>
    <t>(+)176</t>
  </si>
  <si>
    <t>(+)11</t>
  </si>
  <si>
    <t>(+)54</t>
  </si>
  <si>
    <t>(+)12503</t>
  </si>
  <si>
    <t>(+)7619</t>
  </si>
  <si>
    <t>(+)20122</t>
  </si>
  <si>
    <t>(+)1800</t>
  </si>
  <si>
    <t>(+)22000</t>
  </si>
  <si>
    <t>(+)2000</t>
  </si>
  <si>
    <t>(+)700</t>
  </si>
  <si>
    <t>(+)15</t>
  </si>
  <si>
    <t>(+)12013</t>
  </si>
  <si>
    <t>(+)8000</t>
  </si>
  <si>
    <t>(+)38000</t>
  </si>
  <si>
    <t>(+)58013</t>
  </si>
  <si>
    <t>(+)8897</t>
  </si>
  <si>
    <t>Documentación, actualización, simplificación  o automatización de trámites y/o procesos administrativos  que impacte el clima de negocios,  y la competitividad</t>
  </si>
  <si>
    <t>Acciones que fomenten la competitividad en territorios que tengan mayor potencial para el desarrollo económico y  la  el incremento de la productividad</t>
  </si>
  <si>
    <t>(-) 129</t>
  </si>
  <si>
    <t>Elaboración  de estudios o documentos que fomenten la  competitividad, las capacidades estratégicas y la inclusión financiera  de sectores productivos en Guatemala.</t>
  </si>
  <si>
    <t xml:space="preserve">Atención a potenciales empresas para el desarrollo empresarial  sostenible </t>
  </si>
  <si>
    <t>(-) 42</t>
  </si>
  <si>
    <t>(-) 70</t>
  </si>
  <si>
    <t>(-) 3</t>
  </si>
  <si>
    <t>(-) 2</t>
  </si>
  <si>
    <t>(+)125</t>
  </si>
  <si>
    <t>(+)123</t>
  </si>
  <si>
    <t>(+) 40</t>
  </si>
  <si>
    <t>(+) 2</t>
  </si>
  <si>
    <t>(+) 42</t>
  </si>
  <si>
    <t>(-)125</t>
  </si>
  <si>
    <t>(+)1</t>
  </si>
  <si>
    <t>(-)31</t>
  </si>
  <si>
    <t>(-) 156</t>
  </si>
  <si>
    <t>(+)5</t>
  </si>
  <si>
    <t>(+)4</t>
  </si>
  <si>
    <t>(+)9</t>
  </si>
  <si>
    <t>(+)19</t>
  </si>
  <si>
    <t>(+)2</t>
  </si>
  <si>
    <t>(+)37</t>
  </si>
  <si>
    <t>(-)2</t>
  </si>
  <si>
    <t>(-)1</t>
  </si>
  <si>
    <t>(-)3</t>
  </si>
  <si>
    <t>(+)387</t>
  </si>
  <si>
    <t>(+)275</t>
  </si>
  <si>
    <t>(+)662</t>
  </si>
  <si>
    <t>(-) 81</t>
  </si>
  <si>
    <t>(+)581</t>
  </si>
  <si>
    <t>(-) 81
(+) 3</t>
  </si>
  <si>
    <t>(-) 7</t>
  </si>
  <si>
    <t>(-) 676</t>
  </si>
  <si>
    <t>(-) 5</t>
  </si>
  <si>
    <t>(-) 8</t>
  </si>
  <si>
    <t>(-) 6</t>
  </si>
  <si>
    <t>(-) 30</t>
  </si>
  <si>
    <t>(-) 66</t>
  </si>
  <si>
    <t>(+)27860</t>
  </si>
  <si>
    <t>(+)215</t>
  </si>
  <si>
    <t>(+)65</t>
  </si>
  <si>
    <t>(+)152</t>
  </si>
  <si>
    <t>(+)2383</t>
  </si>
  <si>
    <t>(+)494</t>
  </si>
  <si>
    <t>(+)2877</t>
  </si>
  <si>
    <t>(+)572</t>
  </si>
  <si>
    <t>(+)5377</t>
  </si>
  <si>
    <t>(+)7451</t>
  </si>
  <si>
    <t>(+)500</t>
  </si>
  <si>
    <t>(+)469</t>
  </si>
  <si>
    <t>(+)969</t>
  </si>
  <si>
    <t>(-)1033</t>
  </si>
  <si>
    <t>(+)3107</t>
  </si>
  <si>
    <t>(+)1123</t>
  </si>
  <si>
    <t>(+)94</t>
  </si>
  <si>
    <t>(+)1217</t>
  </si>
  <si>
    <t>MEMORANDUM 36</t>
  </si>
  <si>
    <t>(-) 49</t>
  </si>
  <si>
    <t>(+)20</t>
  </si>
  <si>
    <t>(+) 3411</t>
  </si>
  <si>
    <t>(+)21</t>
  </si>
  <si>
    <t>(+)7</t>
  </si>
  <si>
    <t>(+)12</t>
  </si>
  <si>
    <t>(-)6</t>
  </si>
  <si>
    <t>(++) 15</t>
  </si>
  <si>
    <t>6</t>
  </si>
  <si>
    <t>826</t>
  </si>
  <si>
    <t>10</t>
  </si>
  <si>
    <t>45</t>
  </si>
  <si>
    <t>4</t>
  </si>
  <si>
    <t>37</t>
  </si>
  <si>
    <t xml:space="preserve">Resoluciones de aprobación cuando una modificación presupuestaria no genera modificación de metas físicas </t>
  </si>
  <si>
    <t>Generación de información  relevante de apoyo regiones, actores y sectores productivos</t>
  </si>
  <si>
    <t>(+) 1690</t>
  </si>
  <si>
    <t>(+)  1</t>
  </si>
  <si>
    <t>(-)625</t>
  </si>
  <si>
    <t>(-) 170</t>
  </si>
  <si>
    <t>(+)1770</t>
  </si>
  <si>
    <t>(+)550</t>
  </si>
  <si>
    <t>(+)2320</t>
  </si>
  <si>
    <t>(-)43</t>
  </si>
  <si>
    <t>(+) 30</t>
  </si>
  <si>
    <t>mipyme</t>
  </si>
  <si>
    <t>MODIFICACION CLASE INTRA 1   RESOLUCION 225-2025 DEL 03/04/2025 ACUERDO PTO. 71-2025 DEL 15/04/2025  MEMORANDUM 37</t>
  </si>
  <si>
    <t>MODIFICACION INTRA 2 191-2025  DEL 01/04/2025 DEL MEMORANDUM 44</t>
  </si>
  <si>
    <t>MODIFICACIÓN INTRA 2  170-2025 MEMORANDUM  35</t>
  </si>
  <si>
    <t>MODIFICACION INTRA 2 234-2025 DEL 09/04/2025 MEMORANDUM 46</t>
  </si>
  <si>
    <t>MODIFICACION CLASE INTER  RESOLUCION 32-2025 DEL 16/01/2025 AG DE PRESUPUESTO 1-2025 DEL 24/01/2025 MEMORANDUM 1.2.3.4.5,6</t>
  </si>
  <si>
    <t>MODIFICACION CLASE INTER  RESOLUCION 32-2025 DEL 16/01/2025 AG DE PRESUPUESTO 1-2025 DEL 24/01/2025 MEMORANDUM 5</t>
  </si>
  <si>
    <t>100</t>
  </si>
  <si>
    <t>125</t>
  </si>
  <si>
    <t>19</t>
  </si>
  <si>
    <t>810</t>
  </si>
  <si>
    <t>153</t>
  </si>
  <si>
    <t>496</t>
  </si>
  <si>
    <t>99</t>
  </si>
  <si>
    <t>1,012</t>
  </si>
  <si>
    <t>54</t>
  </si>
  <si>
    <t>17</t>
  </si>
  <si>
    <t>18</t>
  </si>
  <si>
    <t>162</t>
  </si>
  <si>
    <t>24</t>
  </si>
  <si>
    <t>56</t>
  </si>
  <si>
    <t>8</t>
  </si>
  <si>
    <t>1,028</t>
  </si>
  <si>
    <t xml:space="preserve">Personas individuales y jurídicas con registro de inscripción vigente y con vigilancia y fiscalización, en el mercado de valores </t>
  </si>
  <si>
    <t xml:space="preserve">Personas individuales y jurídicas beneficiadas  con capacitación en cultura financiera y bursátil a nivel departamental </t>
  </si>
  <si>
    <t>Personas jurídicas beneficiadas con servicios  de registro garantías mobiliarias</t>
  </si>
  <si>
    <t>Personas individuales beneficiadas con servicios  de registro garantías mobiliarias</t>
  </si>
  <si>
    <r>
      <t xml:space="preserve">AVANCE FÍSICO 2DO. </t>
    </r>
    <r>
      <rPr>
        <b/>
        <sz val="9"/>
        <color theme="0"/>
        <rFont val="Times New Roman"/>
        <family val="1"/>
      </rPr>
      <t>CUATRIMESTRE</t>
    </r>
  </si>
  <si>
    <t>MODIFICACION INTRA 2 RESOLUCIPON 173-2025 DEL 21/03/2025 MEMORANDUM 36</t>
  </si>
  <si>
    <t>MODIFICACION CLASE INTRA 1   RESOLUCION 79-2025 DEL 17/02/2025  ACUERDO DE PTO. 055-2025 DEL 02/04/2025  MEMORANDUM 15 Y 18</t>
  </si>
  <si>
    <t>MODIFICACION INTRA 366-2025 DEL 18/05/2025 MEMORANDUM 69</t>
  </si>
  <si>
    <t>(-)59</t>
  </si>
  <si>
    <t>(+)121</t>
  </si>
  <si>
    <t>7</t>
  </si>
  <si>
    <t>RESOLUCION INTRA 2 NO. 314-2025 DEL 30/04/2025  AMPTO, 106-2025 11/06/2025 MEMORANDUM 45</t>
  </si>
  <si>
    <t>(-)7</t>
  </si>
  <si>
    <t>RESOLUCION INTRA 2 NO. 414-2025 DEL 17/06/2025   MEMORANDUM 72</t>
  </si>
  <si>
    <t>RESOLUCION INTRA 1 NO. 314-2025 DEL 30/04/2025  AMPTO, 106-2025 11/06/2025 MEMORANDUM 45</t>
  </si>
  <si>
    <t>(-10)</t>
  </si>
  <si>
    <t>(+) 10</t>
  </si>
  <si>
    <t>(+) 12</t>
  </si>
  <si>
    <t>(-) 125</t>
  </si>
  <si>
    <t>(-) 275</t>
  </si>
  <si>
    <t>(-) 400</t>
  </si>
  <si>
    <t>(-) 34</t>
  </si>
  <si>
    <t>(-) 15</t>
  </si>
  <si>
    <t>(-) 56</t>
  </si>
  <si>
    <t>11</t>
  </si>
  <si>
    <t xml:space="preserve">Acciones para el financiamiento de proyectos productivos para el fomento, innovación y transición tecnológica a MIPYMES, grandes empresas y cooperativas </t>
  </si>
  <si>
    <t>RESOLUCION INTRA 2 NO. 441-2025 DEL 27/06/2025   MEMORANDUM 81</t>
  </si>
  <si>
    <t>(+) 1</t>
  </si>
  <si>
    <t>(+) 1765</t>
  </si>
  <si>
    <t>(-) 165</t>
  </si>
  <si>
    <t>(+) 1145
(+) 1214</t>
  </si>
  <si>
    <t>(-) 1904</t>
  </si>
  <si>
    <t>(+) 4477</t>
  </si>
  <si>
    <t>(+) 4470</t>
  </si>
  <si>
    <t>(+)6</t>
  </si>
  <si>
    <t xml:space="preserve">Entidades beneficiadas con la promoción de oportunidades de atracción de inversión extranjera directa al país </t>
  </si>
  <si>
    <t>(-) 103</t>
  </si>
  <si>
    <t>990</t>
  </si>
  <si>
    <t>383</t>
  </si>
  <si>
    <t>44</t>
  </si>
  <si>
    <t xml:space="preserve">Vinculación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PAÍS PARA VIVIR.;EJE ESTRATEGICO 1. HACIA UNA FUNCIÓN PÚBLICA LEGÍTIMA Y EFICAZ: Línea Estratégica de fortalecer mecanismos de Gobierno Abierto y Electrónico para los servicios ´públicos y rendición de cuentas .,•  EJE ESTRÁTEGICO: 2. DESARROLLO SOCIAL: Línea Estratégica: Desarrollo del Emprendimiento y de la Microempresa  y Línea Estratégica: Igualdad de Género y Empoderamiento Económico de las Mujeres: 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</si>
  <si>
    <t>RESOLUCIÓN MINISTERIAL INTRA 1 429-2025  DEL 20/06/2025 MEMORANDUM 060 Y AMP 134-2025 DEL 21/07/2024</t>
  </si>
  <si>
    <t>RESOLUCIÓN MINISTERIAL INTRA 1 431-2025  DEL 20/06/2025 MEMORANDUM 55,56 Y 70 Y AMP 134-2025 DEL 21/07/2024</t>
  </si>
  <si>
    <t>(-) 74</t>
  </si>
  <si>
    <t>(+) 26</t>
  </si>
  <si>
    <t>26</t>
  </si>
  <si>
    <t>(+) 83</t>
  </si>
  <si>
    <t>(+) 46</t>
  </si>
  <si>
    <t>(+) 3</t>
  </si>
  <si>
    <t>(+) 36</t>
  </si>
  <si>
    <t>(+) 24</t>
  </si>
  <si>
    <t>(+) 34</t>
  </si>
  <si>
    <t>RESOLUCIÓN MINISTERIAL  525-2025 DEL 6/08/2025   FALTA APF MEMORANDUM 85</t>
  </si>
  <si>
    <t>65</t>
  </si>
  <si>
    <t>84</t>
  </si>
  <si>
    <t>925</t>
  </si>
  <si>
    <t>207</t>
  </si>
  <si>
    <t>538</t>
  </si>
  <si>
    <t>RESOLUCION INTRA 538-2025 DEL 12/08/2025 MEMORANDUM 96 Y 95</t>
  </si>
  <si>
    <r>
      <t xml:space="preserve">RESOLUCION INTRA 1 NO. 421-2025 DEL 19 /06/2025 </t>
    </r>
    <r>
      <rPr>
        <b/>
        <sz val="10"/>
        <color rgb="FFFF0000"/>
        <rFont val="Times New Roman"/>
        <family val="1"/>
      </rPr>
      <t xml:space="preserve"> PENDIENTE  </t>
    </r>
    <r>
      <rPr>
        <b/>
        <sz val="10"/>
        <color theme="1"/>
        <rFont val="Times New Roman"/>
        <family val="1"/>
      </rPr>
      <t>A</t>
    </r>
    <r>
      <rPr>
        <b/>
        <sz val="10"/>
        <color rgb="FFFF0000"/>
        <rFont val="Times New Roman"/>
        <family val="1"/>
      </rPr>
      <t>MPTO 128-2025 del 11/07/2025</t>
    </r>
    <r>
      <rPr>
        <b/>
        <sz val="10"/>
        <color theme="1"/>
        <rFont val="Times New Roman"/>
        <family val="1"/>
      </rPr>
      <t xml:space="preserve">, MEMORANDUM 73 </t>
    </r>
  </si>
  <si>
    <t>(+) 45</t>
  </si>
  <si>
    <t>(-) 450</t>
  </si>
  <si>
    <t>(+) 7</t>
  </si>
  <si>
    <t>(-) 128</t>
  </si>
  <si>
    <t>(-)818</t>
  </si>
  <si>
    <t>(+)340</t>
  </si>
  <si>
    <t>MEMORANDUM 116</t>
  </si>
  <si>
    <r>
      <t xml:space="preserve">AVANCE FÍSICO 3ER. </t>
    </r>
    <r>
      <rPr>
        <b/>
        <sz val="9"/>
        <color theme="0"/>
        <rFont val="Times New Roman"/>
        <family val="1"/>
      </rPr>
      <t xml:space="preserve">CUATRIMESTRE </t>
    </r>
  </si>
  <si>
    <t xml:space="preserve">62% DE EJECUCIÓN
</t>
  </si>
  <si>
    <t>RESOLUCION MINISTERIAL 503-2025 DEL 23/07/2025 MEMORANDUM 094 18/07/2025</t>
  </si>
  <si>
    <t xml:space="preserve">RESOLUCIÓN INTRA 1 449-2025 DEL 4/07/2025 ACUERDO DE FINANZAS 148-2025 DEL 11/08/2025  MEMORANDUM 82  </t>
  </si>
  <si>
    <r>
      <t xml:space="preserve">AVANCE FÍSICO 1ER. </t>
    </r>
    <r>
      <rPr>
        <b/>
        <sz val="9"/>
        <color theme="0"/>
        <rFont val="Times New Roman"/>
        <family val="1"/>
      </rPr>
      <t>CUATRIMESTRE</t>
    </r>
    <r>
      <rPr>
        <b/>
        <sz val="9"/>
        <color indexed="8"/>
        <rFont val="Times New Roman"/>
        <family val="1"/>
      </rPr>
      <t xml:space="preserve"> </t>
    </r>
  </si>
  <si>
    <t>1,132</t>
  </si>
  <si>
    <t xml:space="preserve">Documentos metodológicos con enfoque de género, pueblos indígenas y personas con discapacidad </t>
  </si>
  <si>
    <t>(-) 107</t>
  </si>
  <si>
    <t>(+) 93</t>
  </si>
  <si>
    <t>(-) 43</t>
  </si>
  <si>
    <t>(+) 9</t>
  </si>
  <si>
    <t>RESOLUCION INTRA 2  597-2025 DEL 17/9/2025 MEMORANDUM 121</t>
  </si>
  <si>
    <t xml:space="preserve">52% DE EJECUCIÓN
</t>
  </si>
  <si>
    <t xml:space="preserve">57% DE EJECUCIÓN
</t>
  </si>
  <si>
    <t xml:space="preserve">91% DE EJECUCIÓN
</t>
  </si>
  <si>
    <t>(-) 117</t>
  </si>
  <si>
    <t>(-) 63</t>
  </si>
  <si>
    <t>(-) 214</t>
  </si>
  <si>
    <t>(-) 276</t>
  </si>
  <si>
    <t>(-) 607</t>
  </si>
  <si>
    <t>(+) 1395</t>
  </si>
  <si>
    <t>16</t>
  </si>
  <si>
    <t>411</t>
  </si>
  <si>
    <t>285</t>
  </si>
  <si>
    <t>696</t>
  </si>
  <si>
    <t>198</t>
  </si>
  <si>
    <t xml:space="preserve">60% DE EJECUCIÓN </t>
  </si>
  <si>
    <t>RESOLLUCION MINISTERIAL INTRA 2 617-20250 DE 24/09/2025 MEMORANDUM 123</t>
  </si>
  <si>
    <t>36</t>
  </si>
  <si>
    <t>12</t>
  </si>
  <si>
    <t>La UGP ejecutará en el tercer cuatrimestre, un proyecto de formación en emprendimiento y empresarialidad, financiado con recursos de fuente 11. Se prevé una convocatoria nacional que permitirá capacitar a 525 personas (60% de la meta vigente).
Los resultados se reportarán en diciembre de 2025, una vez se cuente con los medios de verificación correspondientes.</t>
  </si>
  <si>
    <t>El convenio de financiación del PED cuenta con beneficiarios al MINECO, MINTRAB, MINEDUC y la CONRED.</t>
  </si>
  <si>
    <t>Actualmente se encuentra en gestión la Adenda 1 del convenio de financiación del PIT, al aprobarse se deberá replantear la meta como fue formulada.
Asimismo desde el área de presupuesto se tienen 2 modificaciones en curso que plantean la disminución de la meta física.</t>
  </si>
  <si>
    <t>(-) 883</t>
  </si>
  <si>
    <t>(-) 28</t>
  </si>
  <si>
    <t>(-) 501</t>
  </si>
  <si>
    <t>(-) 68</t>
  </si>
  <si>
    <t>(-) 1475</t>
  </si>
  <si>
    <t>(-) 1602</t>
  </si>
  <si>
    <t>(-) 3077</t>
  </si>
  <si>
    <t>(-)562</t>
  </si>
  <si>
    <t>(-)10</t>
  </si>
  <si>
    <t>(-)5</t>
  </si>
  <si>
    <t>(-)28</t>
  </si>
  <si>
    <t>MEMORANDUM 137</t>
  </si>
  <si>
    <t>(-) 402</t>
  </si>
  <si>
    <t>(+) 260</t>
  </si>
  <si>
    <t>(-)4</t>
  </si>
  <si>
    <t>9</t>
  </si>
  <si>
    <t>MEMORANDUM 135</t>
  </si>
  <si>
    <t>(+) 1197</t>
  </si>
  <si>
    <t>(+) 2635</t>
  </si>
  <si>
    <t>(+) 20276</t>
  </si>
  <si>
    <t>(+) 24108</t>
  </si>
  <si>
    <t>(+) 2281</t>
  </si>
  <si>
    <t>(+) 37678</t>
  </si>
  <si>
    <t>RESOLUCION INTRA 1 552-2025 DEl 20/8/2025 FALTA ACUERDO DE PRESUPUESTO DE DMP 180-2025 DEL 19/9/2025 MEMORANDUM 97</t>
  </si>
  <si>
    <t>RESOLUCION MINISTERIAL INTRA 1  609-2025 DEL 19/09/2025  AMP 204-2025 MEMORANDUM 124</t>
  </si>
  <si>
    <t>MEMORANDUM 145</t>
  </si>
  <si>
    <t>(-) 246</t>
  </si>
  <si>
    <t>(+) 102</t>
  </si>
  <si>
    <t xml:space="preserve">Empresarios de Micro, pequeña y mediana empresa beneficiados con asistencia técnica en  desarrollo empresarial </t>
  </si>
  <si>
    <t>RESOLUCION MINISTERIAL INTRA 2 745-2025 DEL 24/10/2025 MEMORANDUM 151</t>
  </si>
  <si>
    <t>(+) 123</t>
  </si>
  <si>
    <t>MEMORANDUM 148</t>
  </si>
  <si>
    <t>(-) 667</t>
  </si>
  <si>
    <t>(+) 667</t>
  </si>
  <si>
    <t>MEMORANDUM 149</t>
  </si>
  <si>
    <t>(+) 1000</t>
  </si>
  <si>
    <t>(-) 1000</t>
  </si>
  <si>
    <t>(+) 2337</t>
  </si>
  <si>
    <t>MEMORANDUM 136</t>
  </si>
  <si>
    <t>(+) 20</t>
  </si>
  <si>
    <t>(+) 345</t>
  </si>
  <si>
    <t>(-) 382</t>
  </si>
  <si>
    <t>(-) 37</t>
  </si>
  <si>
    <t xml:space="preserve">71% DE EJECUCIÓN
</t>
  </si>
  <si>
    <t xml:space="preserve">64% DE EJECUCIÓN
</t>
  </si>
  <si>
    <t xml:space="preserve">68% DE EJECUCIÓN
</t>
  </si>
  <si>
    <t xml:space="preserve">61% DE EJECUCIÓN
</t>
  </si>
  <si>
    <t xml:space="preserve">55% DE EJECUCIÓN
   </t>
  </si>
  <si>
    <t xml:space="preserve">45% DE EJECUCIÓN
</t>
  </si>
  <si>
    <t xml:space="preserve">63% DE EJECUCIÓN
</t>
  </si>
  <si>
    <t xml:space="preserve">78% DE EJECUCIÓN
</t>
  </si>
  <si>
    <t xml:space="preserve">73% DE EJECUCIÓN
</t>
  </si>
  <si>
    <t xml:space="preserve">46% DE EJECUCIÓN
</t>
  </si>
  <si>
    <t xml:space="preserve">19% DE EJECUCIÓN
</t>
  </si>
  <si>
    <t xml:space="preserve">57% DE EJECUCIÓN </t>
  </si>
  <si>
    <t xml:space="preserve">36% DE EJECUCIÓN
</t>
  </si>
  <si>
    <t xml:space="preserve">64% DE EJECUCIÓN </t>
  </si>
  <si>
    <t xml:space="preserve">59% DE EJECUCIÓN
</t>
  </si>
  <si>
    <t xml:space="preserve">90% DE EJECUCIÓN
</t>
  </si>
  <si>
    <t xml:space="preserve">26% DE EJECUCIÓN
 </t>
  </si>
  <si>
    <t xml:space="preserve">80% DE EJECUCIÓN
</t>
  </si>
  <si>
    <t>90</t>
  </si>
  <si>
    <t>17653</t>
  </si>
  <si>
    <t>3443</t>
  </si>
  <si>
    <t>4,190</t>
  </si>
  <si>
    <t>3,172</t>
  </si>
  <si>
    <t xml:space="preserve">68% DE EJECUCIÓN </t>
  </si>
  <si>
    <t xml:space="preserve">63% DE EJECUCIÓN </t>
  </si>
  <si>
    <t xml:space="preserve">50% DE EJECUCIÓN </t>
  </si>
  <si>
    <t xml:space="preserve">75% DE EJECUCIÓN </t>
  </si>
  <si>
    <t xml:space="preserve">80% DE EJECUCIÓN </t>
  </si>
  <si>
    <t>Los 801 préstamos otorgados al 31 de octubre de 2025, se han colocado a través de la Entidades ejecutoras del Fideicomiso apoyadas con recursos del "Fondo de Desarrollo de la Microempresa, Pequeña y Mediana Empresa" administrado por el Banco de los Trabajadores, por un monto de Q91,509,056.09
De los 801 préstamos otorgados al 31 de octubre de 2025, 743 corresponden a préstamos a Microempresas por un monto de Q69,335,338.80 contribuyendo a la meta de la Política General de Gobierno 2024-2028, Meta "Para el año 2025  se ha disminuido la pobreza y pobreza extrema  con énfasis en los departamentos priorizados en 27.8 puntos porcentuales (Departamentos priorizados: Alta Verapaz, Sololá, Totonicapán, Huehuetenango, Quiché, Chiquimula).</t>
  </si>
  <si>
    <t>123</t>
  </si>
  <si>
    <t>794</t>
  </si>
  <si>
    <t>52</t>
  </si>
  <si>
    <t>1,218</t>
  </si>
  <si>
    <t>595</t>
  </si>
  <si>
    <t>MEMORANDUM 122</t>
  </si>
  <si>
    <t>(-) 316</t>
  </si>
  <si>
    <t>(-) 26</t>
  </si>
  <si>
    <t>(-) 45</t>
  </si>
  <si>
    <t>(-) 50</t>
  </si>
  <si>
    <t>(-) 180</t>
  </si>
  <si>
    <t>(+) 111</t>
  </si>
  <si>
    <t>137</t>
  </si>
  <si>
    <t>MEMORANDUM  133 y 125</t>
  </si>
  <si>
    <t>35</t>
  </si>
  <si>
    <t>27</t>
  </si>
  <si>
    <t>41</t>
  </si>
  <si>
    <t>94</t>
  </si>
  <si>
    <t>5286</t>
  </si>
  <si>
    <t>1605</t>
  </si>
  <si>
    <t>7251</t>
  </si>
  <si>
    <t>10762</t>
  </si>
  <si>
    <t>3,331</t>
  </si>
  <si>
    <t>295</t>
  </si>
  <si>
    <t>Inversión: Q.128,472,885.47 Empleo: 2,560 empleos</t>
  </si>
  <si>
    <t>1. Se elaboró hoja de ruta para la negociación priorizada del Reglamento de Etiquetado Frontal y Reglamento Centroamericano de Etiquetado Nutricional en cumplimiento de los compromisos adquiridos para Guatemala en la II Ronda de la Unión Aduanera Centroamericana correspondientes al segundo semestre 2025.
2. Se celebró la reunión de Directores de Integración Económica Centroamericana reunión en la que se abordaron temas para el avance de los objetivos de establecimiento de la Unión Aduanera Centroamericana, abordándose temas de armonización de reglamentos técnicos centroamericanos, implementación de la Plataforma Digital de Comercio Centroamericano y Procedimiento para resolver preocupaciones comerciales regionales, entre otros.
3. Se celebraron 2 reuniones de negociación del Reglamento de Etiquetado Frontal de alimentos procesados en las que se avanzó en la negociación de temas como el ámbito de aplicación, definiciones generales, sectores excluidos de la aplicación, entre otros.
4. Se celebró reunión de negociación del grupo técnico arancelario en la que se abordó el criterio de clasificación de los monitores display Apple solicitado por Guatemala se hará una presentación del criterio utilizado por Guatemala para información de los países.</t>
  </si>
  <si>
    <t>1. Se celebró reunión interinstitucional MINECO - SAT para abordar el tema de los Programas de Desgravación Arancelaria que se publicará para su uso por los usuarios con las tablas arancelarias aplicables en el año 2026 u que a su vez servirán para elaborar listas de excepciones a la libre circulación de mercancías para el comercio El Salvador - Honduras y Guatemala.</t>
  </si>
  <si>
    <t>1. Feria comercial Américas Food &amp; Beverage Show &amp; Conferece.</t>
  </si>
  <si>
    <t>1. Informe sobre propuesta de participación del Ministerio de Economía en ferias comerciales internacionales del sector de alimentos y bebidas, food service, horticultura y floricultura.</t>
  </si>
  <si>
    <t xml:space="preserve">67% DE EJECUCIÓN </t>
  </si>
  <si>
    <t xml:space="preserve">17% DE EJECUCIÓN
 </t>
  </si>
  <si>
    <t>282</t>
  </si>
  <si>
    <t>31</t>
  </si>
  <si>
    <t>15</t>
  </si>
  <si>
    <t>78</t>
  </si>
  <si>
    <t>13</t>
  </si>
  <si>
    <t>(5) cuestionarios UER1. (12) EUR1 Sustantivos (20) Certificados de Taiwán, (4) Certificados de Israel y (2) Opiniones Técnicas.</t>
  </si>
  <si>
    <t>(6) consultas que fueron atendidas en los temas de verificación de Origen y (5) consultas de Contingente, las cuales fueron resueltas por el personal de la DACE.</t>
  </si>
  <si>
    <t>Atención de reuniones y la emisión de certificados a las personas individuales y jurídicas que se encuentran inscritas en los diferentes contingentes arancelarios y realizaron su solicitud de certificado para beneficiarse de los contingentes que se encuentran vigentes para el año 2025.</t>
  </si>
  <si>
    <t xml:space="preserve">Seguimiento a los arbitrajes de inversión que se encuentran activos en contra de la República de Guatemala. Seguimiento a reconocimiento y ejecuciones de laudos, una promovida por Guatemala y una Promovida por un inversionista extranjero. Seguimiento a los procesos de contratación de asesores internacionales. Reuniones de seguimiento y discusión de estrategia a utilizar en los arbitrajes de inversión. Seguimiento de procesos administrativos de finiquitos y pagos de asesores y expertos.   </t>
  </si>
  <si>
    <t>Notificaciones en temas de prácticas desleales de comercio, respecto a la investigación por dumping contra ciertos productos de acero galvanizado; licencias de importación y temas de acceso a mercados.</t>
  </si>
  <si>
    <t>MEMORANDUM  152</t>
  </si>
  <si>
    <t>En el mes de octubre, se reporta las metas físicas pendientes de reportar de los meses de agosto y septiembre, debido a que, fue aprobado el incremento de la meta física del subproducto, adicionalmente a ello, se reporta las metas físicas ejecutadas en el mes de octubre del año en curso.</t>
  </si>
  <si>
    <t>Debido a los informes proporcionados por los Departamentos vinculados a este Subproducto, se alcanzo el 100% de la meta física del mismo, en el mes de octubre del año en curso, debido principalmente a las actividades realizadas por la celebración del día del niño en escuelas de las aldeas de El Conacaste, El Guayabo, El Pinalito y Caserío Plan del Jocote del Departamento de Chiquimula; así como, labor informativa sobre los derechos de los consumidores y usuarios en materia de consumo que realizaron las Sedes Departamentales a los comercios locales.</t>
  </si>
  <si>
    <t>(+) 19</t>
  </si>
  <si>
    <t>MEMORANDUM 146</t>
  </si>
  <si>
    <t>Metas que ejecutará la Agencia de Atracción de Inversión Nacional y Extranjera adscrita administrativamente en la Dirección de Servicios al Comercio y la Inversión Acuerdo Ministerial 295-2024 del 19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</si>
</sst>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43" formatCode="_-* #,##0.00_-;\-* #,##0.00_-;_-* &quot;-&quot;??_-;_-@_-"/>
    <numFmt numFmtId="164" formatCode="_(&quot;Q&quot;* #,##0.00_);_(&quot;Q&quot;* \(#,##0.00\);_(&quot;Q&quot;* &quot;-&quot;??_);_(@_)"/>
  </numFmts>
  <fonts count="57"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1"/>
      <color theme="1"/>
      <name val="Candara"/>
      <family val="2"/>
    </font>
    <font>
      <sz val="11"/>
      <color theme="1"/>
      <name val="Candara"/>
      <family val="2"/>
    </font>
    <font>
      <b/>
      <sz val="10"/>
      <color indexed="8"/>
      <name val="Times New Roman"/>
      <family val="1"/>
    </font>
    <font>
      <b/>
      <sz val="11"/>
      <color indexed="8"/>
      <name val="Candara"/>
      <family val="2"/>
    </font>
    <font>
      <b/>
      <sz val="12"/>
      <name val="Times New Roman"/>
      <family val="1"/>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sz val="9"/>
      <color theme="1"/>
      <name val="Times New Roman"/>
      <family val="1"/>
    </font>
    <font>
      <b/>
      <sz val="9"/>
      <color rgb="FF000000"/>
      <name val="Times New Roman"/>
      <family val="1"/>
    </font>
    <font>
      <b/>
      <sz val="14"/>
      <name val="Times New Roman"/>
      <family val="1"/>
    </font>
    <font>
      <b/>
      <sz val="9"/>
      <name val="Candara"/>
      <family val="2"/>
    </font>
    <font>
      <b/>
      <sz val="10"/>
      <name val="Arial"/>
      <family val="2"/>
    </font>
    <font>
      <b/>
      <sz val="11"/>
      <name val="Times New Roman"/>
      <family val="1"/>
    </font>
    <font>
      <sz val="10"/>
      <color indexed="8"/>
      <name val="Arial"/>
      <family val="2"/>
    </font>
    <font>
      <sz val="8"/>
      <name val="Times New Roman"/>
      <family val="1"/>
    </font>
    <font>
      <b/>
      <sz val="12"/>
      <color theme="0"/>
      <name val="Times New Roman"/>
      <family val="1"/>
    </font>
    <font>
      <b/>
      <sz val="9"/>
      <color indexed="8"/>
      <name val="Times New Roman"/>
      <family val="1"/>
    </font>
    <font>
      <sz val="11"/>
      <color indexed="8"/>
      <name val="Calibri"/>
      <family val="2"/>
    </font>
    <font>
      <sz val="12"/>
      <color indexed="8"/>
      <name val="Arial"/>
      <family val="2"/>
    </font>
    <font>
      <sz val="8"/>
      <color theme="1"/>
      <name val="Times New Roman"/>
      <family val="1"/>
    </font>
    <font>
      <b/>
      <sz val="11"/>
      <color theme="0"/>
      <name val="Times New Roman"/>
      <family val="1"/>
    </font>
    <font>
      <b/>
      <sz val="14"/>
      <color theme="0"/>
      <name val="Candara"/>
      <family val="2"/>
    </font>
    <font>
      <b/>
      <sz val="10"/>
      <color theme="0"/>
      <name val="Times New Roman"/>
      <family val="1"/>
    </font>
    <font>
      <b/>
      <sz val="10"/>
      <color theme="0"/>
      <name val="Arial"/>
      <family val="2"/>
    </font>
    <font>
      <sz val="10"/>
      <color rgb="FFFF0000"/>
      <name val="Arial"/>
      <family val="2"/>
    </font>
    <font>
      <b/>
      <sz val="11"/>
      <color theme="1"/>
      <name val="Times New Roman"/>
      <family val="1"/>
    </font>
    <font>
      <sz val="11"/>
      <name val="Times New Roman"/>
      <family val="1"/>
    </font>
    <font>
      <b/>
      <sz val="9"/>
      <name val="Times New Roman"/>
      <family val="1"/>
    </font>
    <font>
      <b/>
      <sz val="10"/>
      <color indexed="8"/>
      <name val="Candara"/>
      <family val="2"/>
    </font>
    <font>
      <sz val="7"/>
      <name val="Times New Roman"/>
      <family val="1"/>
    </font>
    <font>
      <sz val="7.5"/>
      <color theme="1"/>
      <name val="Times New Roman"/>
      <family val="1"/>
    </font>
    <font>
      <sz val="7"/>
      <color rgb="FF000000"/>
      <name val="Times New Roman"/>
      <family val="1"/>
    </font>
    <font>
      <b/>
      <sz val="10"/>
      <color theme="0"/>
      <name val="Candara"/>
      <family val="2"/>
    </font>
    <font>
      <b/>
      <sz val="12"/>
      <color theme="1"/>
      <name val="Times New Roman"/>
      <family val="1"/>
    </font>
    <font>
      <b/>
      <sz val="12"/>
      <name val="Candara"/>
      <family val="2"/>
    </font>
    <font>
      <sz val="7.5"/>
      <name val="Times New Roman"/>
      <family val="1"/>
    </font>
    <font>
      <b/>
      <sz val="9"/>
      <color theme="0"/>
      <name val="Times New Roman"/>
      <family val="1"/>
    </font>
    <font>
      <b/>
      <sz val="8"/>
      <color theme="1"/>
      <name val="Times New Roman"/>
      <family val="1"/>
    </font>
    <font>
      <sz val="11"/>
      <color rgb="FFFF0000"/>
      <name val="Calibri"/>
      <family val="2"/>
      <scheme val="minor"/>
    </font>
    <font>
      <b/>
      <sz val="10"/>
      <color rgb="FFFF0000"/>
      <name val="Times New Roman"/>
      <family val="1"/>
    </font>
    <font>
      <b/>
      <sz val="11"/>
      <color rgb="FFFF0000"/>
      <name val="Times New Roman"/>
      <family val="1"/>
    </font>
    <font>
      <b/>
      <sz val="8"/>
      <name val="Times New Roman"/>
      <family val="1"/>
    </font>
    <font>
      <sz val="9"/>
      <name val="Arial"/>
      <family val="2"/>
    </font>
    <font>
      <sz val="9"/>
      <name val="Times New Roman"/>
      <family val="1"/>
    </font>
    <font>
      <sz val="6.5"/>
      <name val="Times New Roman"/>
      <family val="1"/>
    </font>
    <font>
      <sz val="10"/>
      <color theme="1"/>
      <name val="Candara"/>
      <family val="2"/>
    </font>
    <font>
      <sz val="6"/>
      <name val="Times New Roman"/>
      <family val="1"/>
    </font>
  </fonts>
  <fills count="1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1B98B1"/>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s>
  <cellStyleXfs count="13">
    <xf numFmtId="0" fontId="0" fillId="0" borderId="0"/>
    <xf numFmtId="0" fontId="4" fillId="0" borderId="0"/>
    <xf numFmtId="0" fontId="1" fillId="0" borderId="0"/>
    <xf numFmtId="0" fontId="4" fillId="0" borderId="0"/>
    <xf numFmtId="0" fontId="4" fillId="0" borderId="0"/>
    <xf numFmtId="0" fontId="23" fillId="0" borderId="0">
      <alignment vertical="top"/>
    </xf>
    <xf numFmtId="43" fontId="23" fillId="0" borderId="0" applyFont="0" applyFill="0" applyBorder="0" applyAlignment="0" applyProtection="0">
      <alignment vertical="top"/>
    </xf>
    <xf numFmtId="9" fontId="23" fillId="0" borderId="0" applyFont="0" applyFill="0" applyBorder="0" applyAlignment="0" applyProtection="0">
      <alignment vertical="top"/>
    </xf>
    <xf numFmtId="43" fontId="23" fillId="0" borderId="0" applyFont="0" applyFill="0" applyBorder="0" applyAlignment="0" applyProtection="0">
      <alignment vertical="top"/>
    </xf>
    <xf numFmtId="0" fontId="27" fillId="0" borderId="0"/>
    <xf numFmtId="43" fontId="1" fillId="0" borderId="0" applyFont="0" applyFill="0" applyBorder="0" applyAlignment="0" applyProtection="0"/>
    <xf numFmtId="0" fontId="1" fillId="0" borderId="1"/>
    <xf numFmtId="9" fontId="1" fillId="0" borderId="0" applyFont="0" applyFill="0" applyBorder="0" applyAlignment="0" applyProtection="0"/>
  </cellStyleXfs>
  <cellXfs count="604">
    <xf numFmtId="0" fontId="0" fillId="0" borderId="0" xfId="0"/>
    <xf numFmtId="0" fontId="8" fillId="2" borderId="1" xfId="2" applyFont="1" applyFill="1" applyBorder="1" applyAlignment="1">
      <alignment horizontal="center" vertical="center"/>
    </xf>
    <xf numFmtId="0" fontId="9" fillId="2" borderId="1" xfId="2" applyFont="1" applyFill="1" applyBorder="1" applyAlignment="1">
      <alignment horizontal="center" vertical="center"/>
    </xf>
    <xf numFmtId="4" fontId="11"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5" fillId="2" borderId="1" xfId="0" applyFont="1" applyFill="1" applyBorder="1" applyAlignment="1">
      <alignment horizontal="center" vertical="top"/>
    </xf>
    <xf numFmtId="0" fontId="14" fillId="2" borderId="1" xfId="1" applyFont="1" applyFill="1" applyBorder="1" applyAlignment="1">
      <alignment horizontal="center" vertical="top" wrapText="1"/>
    </xf>
    <xf numFmtId="0" fontId="11"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4" fillId="2" borderId="1" xfId="1" applyNumberFormat="1" applyFont="1" applyFill="1" applyBorder="1" applyAlignment="1">
      <alignment horizontal="center" vertical="top" wrapText="1"/>
    </xf>
    <xf numFmtId="3" fontId="11" fillId="2" borderId="1" xfId="1" applyNumberFormat="1" applyFont="1" applyFill="1" applyBorder="1" applyAlignment="1">
      <alignment horizontal="center" vertical="top" wrapText="1"/>
    </xf>
    <xf numFmtId="0" fontId="3" fillId="2" borderId="1" xfId="3" applyFont="1" applyFill="1" applyBorder="1" applyAlignment="1">
      <alignment horizontal="center" vertical="top" wrapText="1"/>
    </xf>
    <xf numFmtId="4" fontId="14" fillId="2" borderId="1" xfId="1" applyNumberFormat="1" applyFont="1" applyFill="1" applyBorder="1" applyAlignment="1">
      <alignment vertical="top" wrapText="1"/>
    </xf>
    <xf numFmtId="0" fontId="13" fillId="2" borderId="2" xfId="0" applyFont="1" applyFill="1" applyBorder="1" applyAlignment="1">
      <alignment horizontal="center" vertical="top" wrapText="1"/>
    </xf>
    <xf numFmtId="0" fontId="3" fillId="2" borderId="1" xfId="0" applyFont="1" applyFill="1" applyBorder="1" applyAlignment="1">
      <alignment horizontal="center" vertical="top" wrapText="1"/>
    </xf>
    <xf numFmtId="4" fontId="5" fillId="2" borderId="1" xfId="1" applyNumberFormat="1" applyFont="1" applyFill="1" applyBorder="1" applyAlignment="1">
      <alignment horizontal="center" vertical="top" wrapText="1"/>
    </xf>
    <xf numFmtId="0" fontId="3" fillId="2" borderId="1" xfId="4" applyFont="1" applyFill="1" applyBorder="1" applyAlignment="1">
      <alignment horizontal="justify" vertical="top" wrapText="1"/>
    </xf>
    <xf numFmtId="164" fontId="7" fillId="2" borderId="1" xfId="1" applyNumberFormat="1" applyFont="1" applyFill="1" applyBorder="1" applyAlignment="1">
      <alignment vertical="center" wrapText="1"/>
    </xf>
    <xf numFmtId="3" fontId="3" fillId="2" borderId="1" xfId="4"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16" fillId="2" borderId="1" xfId="0" applyFont="1" applyFill="1" applyBorder="1" applyAlignment="1">
      <alignment horizontal="center" vertical="top" wrapText="1"/>
    </xf>
    <xf numFmtId="0" fontId="3" fillId="2" borderId="1" xfId="4" applyFont="1" applyFill="1" applyBorder="1" applyAlignment="1">
      <alignment vertical="top" wrapText="1"/>
    </xf>
    <xf numFmtId="0" fontId="5" fillId="2" borderId="1" xfId="4" applyFont="1" applyFill="1" applyBorder="1" applyAlignment="1">
      <alignment horizontal="center" vertical="top" wrapText="1"/>
    </xf>
    <xf numFmtId="0" fontId="3" fillId="2" borderId="7" xfId="0" applyFont="1" applyFill="1" applyBorder="1" applyAlignment="1">
      <alignment horizontal="center" vertical="top"/>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11" fillId="2" borderId="2" xfId="1" applyNumberFormat="1" applyFont="1" applyFill="1" applyBorder="1" applyAlignment="1">
      <alignment horizontal="center" vertical="top" wrapText="1"/>
    </xf>
    <xf numFmtId="3" fontId="14" fillId="2" borderId="1" xfId="1" applyNumberFormat="1" applyFont="1" applyFill="1" applyBorder="1" applyAlignment="1">
      <alignment vertical="top" wrapText="1"/>
    </xf>
    <xf numFmtId="0" fontId="3" fillId="2" borderId="1" xfId="4" applyFont="1" applyFill="1" applyBorder="1" applyAlignment="1">
      <alignment horizontal="justify" vertical="center" wrapText="1"/>
    </xf>
    <xf numFmtId="0" fontId="1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2" borderId="4" xfId="0" applyFont="1" applyFill="1" applyBorder="1" applyAlignment="1">
      <alignment horizontal="center" vertical="top"/>
    </xf>
    <xf numFmtId="4" fontId="13" fillId="2" borderId="4"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8" fillId="2" borderId="1" xfId="2" applyFont="1" applyFill="1" applyBorder="1" applyAlignment="1">
      <alignment horizontal="center" vertical="center" wrapText="1"/>
    </xf>
    <xf numFmtId="0" fontId="6" fillId="2" borderId="1"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10" fillId="2" borderId="1" xfId="0" applyFont="1" applyFill="1" applyBorder="1" applyAlignment="1">
      <alignment horizontal="center" vertical="top" wrapText="1"/>
    </xf>
    <xf numFmtId="0" fontId="14" fillId="2" borderId="2" xfId="1" applyFont="1" applyFill="1" applyBorder="1" applyAlignment="1">
      <alignment horizontal="center" vertical="top" wrapText="1"/>
    </xf>
    <xf numFmtId="0" fontId="10" fillId="2" borderId="1" xfId="0" applyFont="1" applyFill="1" applyBorder="1" applyAlignment="1">
      <alignment vertical="top" wrapText="1"/>
    </xf>
    <xf numFmtId="0" fontId="3" fillId="2" borderId="1" xfId="3" applyFont="1" applyFill="1" applyBorder="1" applyAlignment="1">
      <alignment horizontal="justify" vertical="top" wrapText="1"/>
    </xf>
    <xf numFmtId="9" fontId="11" fillId="2" borderId="1" xfId="1" applyNumberFormat="1" applyFont="1" applyFill="1" applyBorder="1" applyAlignment="1">
      <alignment horizontal="center" vertical="top" wrapText="1"/>
    </xf>
    <xf numFmtId="3" fontId="15" fillId="2" borderId="1" xfId="0" applyNumberFormat="1" applyFont="1" applyFill="1" applyBorder="1" applyAlignment="1">
      <alignment horizontal="center" vertical="top" wrapText="1"/>
    </xf>
    <xf numFmtId="0" fontId="5" fillId="2" borderId="4" xfId="0" applyFont="1" applyFill="1" applyBorder="1" applyAlignment="1">
      <alignment horizontal="justify" vertical="top" wrapText="1"/>
    </xf>
    <xf numFmtId="0" fontId="3" fillId="2" borderId="4" xfId="0" applyFont="1" applyFill="1" applyBorder="1" applyAlignment="1">
      <alignment horizontal="justify" vertical="top"/>
    </xf>
    <xf numFmtId="0" fontId="3" fillId="2" borderId="4" xfId="3" applyNumberFormat="1" applyFont="1" applyFill="1" applyBorder="1" applyAlignment="1">
      <alignment horizontal="justify" vertical="top" wrapText="1"/>
    </xf>
    <xf numFmtId="4" fontId="14" fillId="2" borderId="1" xfId="1" applyNumberFormat="1" applyFont="1" applyFill="1" applyBorder="1" applyAlignment="1">
      <alignment horizontal="justify" vertical="top" wrapText="1"/>
    </xf>
    <xf numFmtId="3" fontId="11" fillId="2" borderId="1" xfId="0" applyNumberFormat="1" applyFont="1" applyFill="1" applyBorder="1" applyAlignment="1">
      <alignment horizontal="center" vertical="top"/>
    </xf>
    <xf numFmtId="0" fontId="4" fillId="0" borderId="1" xfId="1" applyFont="1" applyBorder="1"/>
    <xf numFmtId="4" fontId="20" fillId="2" borderId="1" xfId="1" applyNumberFormat="1" applyFont="1" applyFill="1" applyBorder="1" applyAlignment="1">
      <alignment horizontal="center" vertical="center" wrapText="1"/>
    </xf>
    <xf numFmtId="0" fontId="15" fillId="2" borderId="1" xfId="0" applyFont="1" applyFill="1" applyBorder="1" applyAlignment="1">
      <alignment vertical="top" wrapText="1"/>
    </xf>
    <xf numFmtId="3" fontId="7" fillId="2" borderId="1" xfId="1" applyNumberFormat="1" applyFont="1" applyFill="1" applyBorder="1" applyAlignment="1">
      <alignment horizontal="center" vertical="center" wrapText="1"/>
    </xf>
    <xf numFmtId="3" fontId="3" fillId="2" borderId="4" xfId="0" applyNumberFormat="1" applyFont="1" applyFill="1" applyBorder="1" applyAlignment="1">
      <alignment horizontal="center" vertical="top"/>
    </xf>
    <xf numFmtId="4" fontId="3" fillId="2" borderId="1" xfId="1" applyNumberFormat="1" applyFont="1" applyFill="1" applyBorder="1" applyAlignment="1">
      <alignment horizontal="center" vertical="top" wrapText="1"/>
    </xf>
    <xf numFmtId="3" fontId="22" fillId="6"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0" fontId="3" fillId="2" borderId="1" xfId="0" applyFont="1" applyFill="1" applyBorder="1" applyAlignment="1">
      <alignment horizontal="justify" vertical="top" wrapText="1"/>
    </xf>
    <xf numFmtId="3" fontId="15" fillId="2" borderId="1" xfId="0" applyNumberFormat="1" applyFont="1" applyFill="1" applyBorder="1" applyAlignment="1">
      <alignment horizontal="justify" vertical="top" wrapText="1"/>
    </xf>
    <xf numFmtId="0" fontId="21" fillId="9" borderId="1" xfId="1" applyFont="1" applyFill="1" applyBorder="1" applyAlignment="1">
      <alignment horizontal="center" vertical="top" wrapText="1"/>
    </xf>
    <xf numFmtId="0" fontId="21" fillId="9" borderId="1" xfId="1" applyFont="1" applyFill="1" applyBorder="1" applyAlignment="1">
      <alignment horizontal="center" vertical="center" wrapText="1"/>
    </xf>
    <xf numFmtId="3" fontId="21" fillId="9" borderId="1" xfId="1" applyNumberFormat="1" applyFont="1" applyFill="1" applyBorder="1" applyAlignment="1">
      <alignment horizontal="center" vertical="center" wrapText="1"/>
    </xf>
    <xf numFmtId="9" fontId="3" fillId="2" borderId="1" xfId="1" applyNumberFormat="1" applyFont="1" applyFill="1" applyBorder="1" applyAlignment="1">
      <alignment horizontal="center" vertical="top" wrapText="1"/>
    </xf>
    <xf numFmtId="0" fontId="15" fillId="2" borderId="1" xfId="0" applyFont="1" applyFill="1" applyBorder="1" applyAlignment="1">
      <alignment horizontal="justify" vertical="top" wrapText="1"/>
    </xf>
    <xf numFmtId="3" fontId="14"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4" fillId="2" borderId="1" xfId="1" applyNumberFormat="1" applyFont="1" applyFill="1" applyBorder="1" applyAlignment="1">
      <alignment horizontal="center" vertical="top" wrapText="1"/>
    </xf>
    <xf numFmtId="0" fontId="13" fillId="2" borderId="11" xfId="0" applyFont="1" applyFill="1" applyBorder="1" applyAlignment="1">
      <alignment horizontal="justify" vertical="top" wrapText="1"/>
    </xf>
    <xf numFmtId="0" fontId="13" fillId="2" borderId="12" xfId="0" applyFont="1" applyFill="1" applyBorder="1" applyAlignment="1">
      <alignment horizontal="justify" vertical="top" wrapText="1"/>
    </xf>
    <xf numFmtId="0" fontId="13" fillId="2" borderId="13" xfId="0" applyFont="1" applyFill="1" applyBorder="1" applyAlignment="1">
      <alignment horizontal="justify" vertical="top" wrapText="1"/>
    </xf>
    <xf numFmtId="0" fontId="21" fillId="9" borderId="0" xfId="1" applyFont="1" applyFill="1" applyBorder="1" applyAlignment="1">
      <alignment horizontal="center" vertical="top" wrapText="1"/>
    </xf>
    <xf numFmtId="0" fontId="15" fillId="2" borderId="1" xfId="0" applyFont="1" applyFill="1" applyBorder="1" applyAlignment="1">
      <alignment horizontal="left" vertical="top" wrapText="1"/>
    </xf>
    <xf numFmtId="0" fontId="3" fillId="2" borderId="1" xfId="4" applyFont="1" applyFill="1" applyBorder="1" applyAlignment="1">
      <alignment horizontal="center" vertical="top" wrapText="1"/>
    </xf>
    <xf numFmtId="0" fontId="3" fillId="2" borderId="7" xfId="4" applyFont="1" applyFill="1" applyBorder="1" applyAlignment="1">
      <alignment horizontal="center" vertical="top" wrapText="1"/>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9" fillId="2" borderId="1" xfId="9" applyFont="1" applyFill="1" applyBorder="1" applyAlignment="1">
      <alignment vertical="center" textRotation="90" wrapText="1"/>
    </xf>
    <xf numFmtId="0" fontId="21" fillId="9" borderId="0" xfId="1" applyFont="1" applyFill="1" applyBorder="1" applyAlignment="1">
      <alignment horizontal="center" vertical="center" wrapText="1"/>
    </xf>
    <xf numFmtId="0" fontId="9" fillId="2" borderId="13" xfId="9" applyFont="1" applyFill="1" applyBorder="1" applyAlignment="1">
      <alignment vertical="center" textRotation="90" wrapText="1"/>
    </xf>
    <xf numFmtId="3" fontId="14" fillId="2" borderId="2" xfId="1" applyNumberFormat="1" applyFont="1" applyFill="1" applyBorder="1" applyAlignment="1">
      <alignment horizontal="center" vertical="top" wrapText="1"/>
    </xf>
    <xf numFmtId="43" fontId="3" fillId="2" borderId="1" xfId="10" applyFont="1" applyFill="1" applyBorder="1" applyAlignment="1">
      <alignment horizontal="justify" vertical="top" wrapText="1"/>
    </xf>
    <xf numFmtId="0" fontId="8" fillId="2" borderId="7" xfId="2" applyFont="1" applyFill="1" applyBorder="1" applyAlignment="1">
      <alignment horizontal="center" vertical="center"/>
    </xf>
    <xf numFmtId="0" fontId="8" fillId="2" borderId="7" xfId="2" applyFont="1" applyFill="1" applyBorder="1" applyAlignment="1">
      <alignment horizontal="center" vertical="center" wrapText="1"/>
    </xf>
    <xf numFmtId="0" fontId="9" fillId="2" borderId="7" xfId="2" applyFont="1" applyFill="1" applyBorder="1" applyAlignment="1">
      <alignment horizontal="center" vertical="center"/>
    </xf>
    <xf numFmtId="3" fontId="13" fillId="2" borderId="2" xfId="0" applyNumberFormat="1" applyFont="1" applyFill="1" applyBorder="1" applyAlignment="1">
      <alignment horizontal="center" vertical="top" wrapText="1"/>
    </xf>
    <xf numFmtId="0" fontId="28" fillId="2" borderId="1" xfId="9" applyFont="1" applyFill="1" applyBorder="1" applyAlignment="1"/>
    <xf numFmtId="0" fontId="5" fillId="8" borderId="1" xfId="1" applyFont="1" applyFill="1" applyBorder="1" applyAlignment="1">
      <alignment vertical="center" wrapText="1"/>
    </xf>
    <xf numFmtId="0" fontId="14" fillId="2" borderId="10" xfId="1" applyFont="1" applyFill="1" applyBorder="1" applyAlignment="1">
      <alignment horizontal="center" vertical="top" wrapText="1"/>
    </xf>
    <xf numFmtId="0" fontId="14" fillId="2" borderId="4" xfId="1" applyFont="1" applyFill="1" applyBorder="1" applyAlignment="1">
      <alignment horizontal="center" vertical="top" wrapText="1"/>
    </xf>
    <xf numFmtId="0" fontId="21" fillId="2" borderId="1" xfId="1" applyFont="1" applyFill="1" applyBorder="1" applyAlignment="1">
      <alignment vertical="top" wrapText="1"/>
    </xf>
    <xf numFmtId="4" fontId="29" fillId="2" borderId="1" xfId="1" applyNumberFormat="1" applyFont="1" applyFill="1" applyBorder="1" applyAlignment="1">
      <alignment horizontal="justify" vertical="top" wrapText="1"/>
    </xf>
    <xf numFmtId="3" fontId="5" fillId="2" borderId="1" xfId="1" applyNumberFormat="1" applyFont="1" applyFill="1" applyBorder="1" applyAlignment="1">
      <alignment horizontal="center" vertical="top" wrapText="1"/>
    </xf>
    <xf numFmtId="4" fontId="29" fillId="2" borderId="1" xfId="1" applyNumberFormat="1" applyFont="1" applyFill="1" applyBorder="1" applyAlignment="1">
      <alignment vertical="top" wrapText="1"/>
    </xf>
    <xf numFmtId="3" fontId="13" fillId="2" borderId="4" xfId="0" applyNumberFormat="1" applyFont="1" applyFill="1" applyBorder="1" applyAlignment="1">
      <alignment horizontal="center" vertical="top" wrapText="1"/>
    </xf>
    <xf numFmtId="3" fontId="5" fillId="2" borderId="1" xfId="4" applyNumberFormat="1" applyFont="1" applyFill="1" applyBorder="1" applyAlignment="1">
      <alignment horizontal="center" vertical="top" wrapText="1"/>
    </xf>
    <xf numFmtId="3" fontId="14" fillId="2" borderId="1" xfId="0" applyNumberFormat="1" applyFont="1" applyFill="1" applyBorder="1" applyAlignment="1">
      <alignment horizontal="center" vertical="top"/>
    </xf>
    <xf numFmtId="0" fontId="32" fillId="8" borderId="1" xfId="1" applyFont="1" applyFill="1" applyBorder="1" applyAlignment="1">
      <alignment vertical="center" wrapText="1"/>
    </xf>
    <xf numFmtId="0" fontId="19" fillId="10" borderId="1" xfId="1" applyFont="1" applyFill="1" applyBorder="1" applyAlignment="1">
      <alignment horizontal="left" vertical="center" wrapText="1"/>
    </xf>
    <xf numFmtId="0" fontId="11" fillId="2" borderId="2" xfId="1" applyFont="1" applyFill="1" applyBorder="1" applyAlignment="1">
      <alignment horizontal="center" vertical="top" wrapText="1"/>
    </xf>
    <xf numFmtId="0" fontId="3" fillId="2" borderId="5" xfId="4" applyFont="1" applyFill="1" applyBorder="1" applyAlignment="1">
      <alignment horizontal="justify" vertical="top" wrapText="1"/>
    </xf>
    <xf numFmtId="0" fontId="15" fillId="2" borderId="2" xfId="0" applyFont="1" applyFill="1" applyBorder="1" applyAlignment="1">
      <alignment vertical="top" wrapText="1"/>
    </xf>
    <xf numFmtId="4" fontId="22" fillId="6" borderId="1" xfId="1" applyNumberFormat="1" applyFont="1" applyFill="1" applyBorder="1" applyAlignment="1">
      <alignment horizontal="center" vertical="top" wrapText="1"/>
    </xf>
    <xf numFmtId="9" fontId="22" fillId="6" borderId="1" xfId="1" applyNumberFormat="1" applyFont="1" applyFill="1" applyBorder="1" applyAlignment="1">
      <alignment horizontal="center" vertical="top" wrapText="1"/>
    </xf>
    <xf numFmtId="0" fontId="14" fillId="2" borderId="1" xfId="10" applyNumberFormat="1" applyFont="1" applyFill="1" applyBorder="1" applyAlignment="1">
      <alignment horizontal="center" vertical="top"/>
    </xf>
    <xf numFmtId="3" fontId="22" fillId="6"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top" wrapText="1"/>
    </xf>
    <xf numFmtId="49" fontId="11" fillId="2" borderId="1" xfId="1"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3" fontId="3"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xf>
    <xf numFmtId="49" fontId="5" fillId="2" borderId="1" xfId="0" applyNumberFormat="1" applyFont="1" applyFill="1" applyBorder="1" applyAlignment="1">
      <alignment horizontal="center" vertical="top" wrapText="1"/>
    </xf>
    <xf numFmtId="49" fontId="3" fillId="2" borderId="1" xfId="4" applyNumberFormat="1" applyFont="1" applyFill="1" applyBorder="1" applyAlignment="1">
      <alignment horizontal="center" vertical="top" wrapText="1"/>
    </xf>
    <xf numFmtId="0" fontId="5" fillId="2" borderId="1" xfId="1" applyFont="1" applyFill="1" applyBorder="1" applyAlignment="1">
      <alignment horizontal="center" vertical="top" wrapText="1"/>
    </xf>
    <xf numFmtId="0" fontId="15" fillId="2" borderId="4" xfId="0" applyFont="1" applyFill="1" applyBorder="1" applyAlignment="1">
      <alignment horizontal="justify" vertical="top" wrapText="1"/>
    </xf>
    <xf numFmtId="4" fontId="11" fillId="6" borderId="1" xfId="1" applyNumberFormat="1" applyFont="1" applyFill="1" applyBorder="1" applyAlignment="1">
      <alignment horizontal="center" vertical="top" wrapText="1"/>
    </xf>
    <xf numFmtId="4" fontId="14" fillId="2" borderId="4" xfId="1" applyNumberFormat="1" applyFont="1" applyFill="1" applyBorder="1" applyAlignment="1">
      <alignment horizontal="justify" vertical="top" wrapText="1"/>
    </xf>
    <xf numFmtId="4" fontId="30" fillId="8" borderId="1" xfId="1" applyNumberFormat="1" applyFont="1" applyFill="1" applyBorder="1" applyAlignment="1">
      <alignment horizontal="center" vertical="center" wrapText="1"/>
    </xf>
    <xf numFmtId="3" fontId="5" fillId="2" borderId="4" xfId="3" applyNumberFormat="1" applyFont="1" applyFill="1" applyBorder="1" applyAlignment="1">
      <alignment horizontal="justify" vertical="top" wrapText="1"/>
    </xf>
    <xf numFmtId="4" fontId="15" fillId="2" borderId="1" xfId="0" applyNumberFormat="1" applyFont="1" applyFill="1" applyBorder="1" applyAlignment="1">
      <alignment horizontal="justify" vertical="top" wrapText="1"/>
    </xf>
    <xf numFmtId="49" fontId="13" fillId="2" borderId="1" xfId="0" applyNumberFormat="1" applyFont="1" applyFill="1" applyBorder="1" applyAlignment="1">
      <alignment horizontal="center" vertical="top" wrapText="1"/>
    </xf>
    <xf numFmtId="0" fontId="22" fillId="6" borderId="1" xfId="1" applyFont="1" applyFill="1" applyBorder="1" applyAlignment="1">
      <alignment horizontal="center" vertical="top" wrapText="1"/>
    </xf>
    <xf numFmtId="9" fontId="35" fillId="6" borderId="1" xfId="1" applyNumberFormat="1" applyFont="1" applyFill="1" applyBorder="1" applyAlignment="1">
      <alignment horizontal="center" vertical="top" wrapText="1"/>
    </xf>
    <xf numFmtId="3" fontId="14" fillId="2" borderId="1" xfId="1" applyNumberFormat="1" applyFont="1" applyFill="1" applyBorder="1" applyAlignment="1">
      <alignment horizontal="center" vertical="top"/>
    </xf>
    <xf numFmtId="4" fontId="14" fillId="2" borderId="1" xfId="1" applyNumberFormat="1" applyFont="1" applyFill="1" applyBorder="1" applyAlignment="1">
      <alignment horizontal="center" wrapText="1"/>
    </xf>
    <xf numFmtId="3" fontId="14" fillId="2" borderId="6" xfId="1" applyNumberFormat="1" applyFont="1" applyFill="1" applyBorder="1" applyAlignment="1">
      <alignment horizontal="center" vertical="top" wrapText="1"/>
    </xf>
    <xf numFmtId="0" fontId="17" fillId="2" borderId="1" xfId="0" applyFont="1" applyFill="1" applyBorder="1" applyAlignment="1">
      <alignment horizontal="justify" vertical="top" wrapText="1"/>
    </xf>
    <xf numFmtId="3" fontId="14" fillId="2" borderId="1" xfId="0" applyNumberFormat="1" applyFont="1" applyFill="1" applyBorder="1" applyAlignment="1">
      <alignment horizontal="center" vertical="top" wrapText="1"/>
    </xf>
    <xf numFmtId="0" fontId="4" fillId="2" borderId="1" xfId="1" applyFont="1" applyFill="1" applyBorder="1" applyAlignment="1">
      <alignment vertical="top" wrapText="1"/>
    </xf>
    <xf numFmtId="0" fontId="13" fillId="2" borderId="0" xfId="0" applyFont="1" applyFill="1" applyBorder="1" applyAlignment="1">
      <alignment vertical="top" wrapText="1"/>
    </xf>
    <xf numFmtId="164" fontId="7" fillId="2" borderId="5" xfId="1" applyNumberFormat="1" applyFont="1" applyFill="1" applyBorder="1" applyAlignment="1">
      <alignment vertical="center" wrapText="1"/>
    </xf>
    <xf numFmtId="49" fontId="15" fillId="2" borderId="7" xfId="0" applyNumberFormat="1" applyFont="1" applyFill="1" applyBorder="1" applyAlignment="1">
      <alignment horizontal="center" vertical="top" wrapText="1"/>
    </xf>
    <xf numFmtId="9" fontId="22" fillId="6" borderId="1" xfId="12" applyFont="1" applyFill="1" applyBorder="1" applyAlignment="1">
      <alignment horizontal="center" vertical="center" wrapText="1"/>
    </xf>
    <xf numFmtId="49" fontId="13" fillId="2" borderId="7"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3" fontId="22" fillId="2" borderId="1" xfId="1" applyNumberFormat="1" applyFont="1" applyFill="1" applyBorder="1" applyAlignment="1">
      <alignment horizontal="center" vertical="top" wrapText="1"/>
    </xf>
    <xf numFmtId="3" fontId="36" fillId="2" borderId="1" xfId="1" applyNumberFormat="1" applyFont="1" applyFill="1" applyBorder="1" applyAlignment="1">
      <alignment horizontal="center" vertical="top" wrapText="1"/>
    </xf>
    <xf numFmtId="0" fontId="5" fillId="2" borderId="1" xfId="0" applyFont="1" applyFill="1" applyBorder="1" applyAlignment="1">
      <alignment horizontal="center" vertical="center"/>
    </xf>
    <xf numFmtId="0" fontId="3" fillId="2" borderId="1" xfId="4" applyFont="1" applyFill="1" applyBorder="1" applyAlignment="1">
      <alignment horizontal="center" vertical="center" wrapText="1"/>
    </xf>
    <xf numFmtId="0" fontId="38" fillId="2" borderId="8" xfId="9" applyFont="1" applyFill="1" applyBorder="1" applyAlignment="1">
      <alignment vertical="center" textRotation="90" wrapText="1"/>
    </xf>
    <xf numFmtId="0" fontId="5" fillId="2" borderId="5" xfId="4" applyFont="1" applyFill="1" applyBorder="1" applyAlignment="1">
      <alignment horizontal="center" vertical="top" wrapText="1"/>
    </xf>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3" fillId="2" borderId="9" xfId="4" applyFont="1" applyFill="1" applyBorder="1" applyAlignment="1">
      <alignment horizontal="left" vertical="top" wrapText="1"/>
    </xf>
    <xf numFmtId="0" fontId="3" fillId="2" borderId="1" xfId="4" applyFont="1" applyFill="1" applyBorder="1" applyAlignment="1">
      <alignment horizontal="left" vertical="top" wrapText="1"/>
    </xf>
    <xf numFmtId="0" fontId="3" fillId="2" borderId="2" xfId="4" applyFont="1" applyFill="1" applyBorder="1" applyAlignment="1">
      <alignment horizontal="left" vertical="top" wrapText="1"/>
    </xf>
    <xf numFmtId="0" fontId="3" fillId="2" borderId="8" xfId="0" applyFont="1" applyFill="1" applyBorder="1" applyAlignment="1">
      <alignment horizontal="justify" vertical="top" wrapText="1"/>
    </xf>
    <xf numFmtId="0" fontId="15" fillId="2" borderId="2" xfId="0" applyFont="1" applyFill="1" applyBorder="1" applyAlignment="1">
      <alignment horizontal="center" vertical="top" wrapText="1"/>
    </xf>
    <xf numFmtId="0" fontId="23" fillId="2" borderId="1" xfId="9" applyFont="1" applyFill="1" applyBorder="1"/>
    <xf numFmtId="0" fontId="23" fillId="2" borderId="1" xfId="9" applyFont="1" applyFill="1" applyBorder="1" applyAlignment="1">
      <alignment horizontal="justify" vertical="top"/>
    </xf>
    <xf numFmtId="0" fontId="15" fillId="2" borderId="5" xfId="0" applyFont="1" applyFill="1" applyBorder="1" applyAlignment="1">
      <alignment horizontal="justify" vertical="top" wrapText="1"/>
    </xf>
    <xf numFmtId="0" fontId="34" fillId="2" borderId="1" xfId="9" applyFont="1" applyFill="1" applyBorder="1" applyAlignment="1">
      <alignment horizontal="center"/>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justify"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4" fontId="13" fillId="2" borderId="1" xfId="0" applyNumberFormat="1" applyFont="1" applyFill="1" applyBorder="1" applyAlignment="1">
      <alignment horizontal="center" vertical="top"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3" fillId="2" borderId="4" xfId="0" applyFont="1" applyFill="1" applyBorder="1" applyAlignment="1">
      <alignment horizontal="justify"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21" fillId="9" borderId="5" xfId="1" applyFont="1" applyFill="1" applyBorder="1" applyAlignment="1">
      <alignment horizontal="center" vertical="center"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9" fontId="13" fillId="6" borderId="7" xfId="0" applyNumberFormat="1" applyFont="1" applyFill="1" applyBorder="1" applyAlignment="1">
      <alignment horizontal="center" vertical="top" wrapText="1"/>
    </xf>
    <xf numFmtId="0" fontId="4" fillId="2" borderId="0" xfId="1" applyFont="1" applyFill="1" applyBorder="1"/>
    <xf numFmtId="0" fontId="4" fillId="0" borderId="0" xfId="1" applyFont="1" applyFill="1" applyBorder="1"/>
    <xf numFmtId="0" fontId="4" fillId="5" borderId="0" xfId="1" applyFont="1" applyFill="1" applyBorder="1"/>
    <xf numFmtId="0" fontId="5" fillId="3" borderId="8" xfId="1" applyFont="1" applyFill="1" applyBorder="1" applyAlignment="1">
      <alignment vertical="center" wrapText="1"/>
    </xf>
    <xf numFmtId="0" fontId="6" fillId="3" borderId="8"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42" fillId="10" borderId="1" xfId="1" applyFont="1" applyFill="1" applyBorder="1" applyAlignment="1">
      <alignment horizontal="center" vertical="center" wrapText="1"/>
    </xf>
    <xf numFmtId="0" fontId="32" fillId="10" borderId="1" xfId="1" applyFont="1" applyFill="1" applyBorder="1" applyAlignment="1">
      <alignment horizontal="center" vertical="center" wrapText="1"/>
    </xf>
    <xf numFmtId="0" fontId="4" fillId="9" borderId="1" xfId="1" applyFont="1" applyFill="1" applyBorder="1" applyAlignment="1">
      <alignment horizontal="center" vertical="top"/>
    </xf>
    <xf numFmtId="0" fontId="5" fillId="3" borderId="8" xfId="1" applyFont="1" applyFill="1" applyBorder="1" applyAlignment="1">
      <alignment horizontal="center" vertical="center"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4" fillId="0" borderId="1" xfId="1" applyFont="1" applyBorder="1" applyAlignment="1">
      <alignment horizontal="center"/>
    </xf>
    <xf numFmtId="0" fontId="4" fillId="2" borderId="1" xfId="1" applyFont="1" applyFill="1" applyBorder="1" applyAlignment="1">
      <alignment horizontal="center"/>
    </xf>
    <xf numFmtId="0" fontId="6" fillId="3" borderId="14" xfId="1" applyFont="1" applyFill="1" applyBorder="1" applyAlignment="1">
      <alignment horizontal="center" vertical="center" wrapText="1"/>
    </xf>
    <xf numFmtId="0" fontId="4" fillId="0" borderId="4" xfId="1" applyFont="1" applyBorder="1" applyAlignment="1">
      <alignment horizontal="center"/>
    </xf>
    <xf numFmtId="0" fontId="4" fillId="2" borderId="1" xfId="1" applyFont="1" applyFill="1" applyBorder="1"/>
    <xf numFmtId="0" fontId="4" fillId="0" borderId="6" xfId="1" applyFont="1" applyBorder="1"/>
    <xf numFmtId="0" fontId="4" fillId="0" borderId="0" xfId="1" applyFont="1" applyBorder="1"/>
    <xf numFmtId="0" fontId="5" fillId="2" borderId="1" xfId="1" applyFont="1" applyFill="1" applyBorder="1" applyAlignment="1">
      <alignment vertical="center" wrapText="1"/>
    </xf>
    <xf numFmtId="3" fontId="4" fillId="2" borderId="1" xfId="1" applyNumberFormat="1" applyFont="1" applyFill="1" applyBorder="1"/>
    <xf numFmtId="3" fontId="4" fillId="0" borderId="1" xfId="1" applyNumberFormat="1" applyFont="1" applyBorder="1"/>
    <xf numFmtId="0" fontId="4" fillId="6" borderId="1" xfId="1" applyFont="1" applyFill="1" applyBorder="1"/>
    <xf numFmtId="0" fontId="35" fillId="3" borderId="7"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1" fillId="13" borderId="7" xfId="1" applyFont="1" applyFill="1" applyBorder="1" applyAlignment="1">
      <alignment horizontal="center" vertical="center" wrapText="1"/>
    </xf>
    <xf numFmtId="0" fontId="25" fillId="8" borderId="4" xfId="1" applyFont="1" applyFill="1" applyBorder="1" applyAlignment="1">
      <alignment horizontal="left" vertical="center" wrapText="1"/>
    </xf>
    <xf numFmtId="0" fontId="10" fillId="14" borderId="1" xfId="0" applyFont="1" applyFill="1" applyBorder="1" applyAlignment="1">
      <alignment horizontal="left" vertical="top" wrapText="1"/>
    </xf>
    <xf numFmtId="0" fontId="25" fillId="8" borderId="4" xfId="1" applyFont="1" applyFill="1" applyBorder="1" applyAlignment="1">
      <alignment horizontal="right" vertical="center"/>
    </xf>
    <xf numFmtId="0" fontId="25" fillId="8" borderId="6" xfId="1" applyFont="1" applyFill="1" applyBorder="1" applyAlignment="1">
      <alignment horizontal="right" vertical="center"/>
    </xf>
    <xf numFmtId="0" fontId="10" fillId="8" borderId="1" xfId="1" applyFont="1" applyFill="1" applyBorder="1" applyAlignment="1">
      <alignment horizontal="left" vertical="center" wrapText="1"/>
    </xf>
    <xf numFmtId="0" fontId="44" fillId="8" borderId="1" xfId="1" applyFont="1" applyFill="1" applyBorder="1" applyAlignment="1">
      <alignment horizontal="left" vertical="center" wrapText="1"/>
    </xf>
    <xf numFmtId="0" fontId="25" fillId="8" borderId="10" xfId="1" applyFont="1" applyFill="1" applyBorder="1" applyAlignment="1">
      <alignment horizontal="left" vertical="center" wrapText="1"/>
    </xf>
    <xf numFmtId="0" fontId="4" fillId="12" borderId="0" xfId="1" applyFont="1" applyFill="1" applyBorder="1"/>
    <xf numFmtId="0" fontId="4" fillId="3" borderId="0" xfId="1" applyFont="1" applyFill="1" applyBorder="1"/>
    <xf numFmtId="0" fontId="4" fillId="11" borderId="0" xfId="1" applyFont="1" applyFill="1" applyBorder="1"/>
    <xf numFmtId="3" fontId="4" fillId="0" borderId="0" xfId="1" applyNumberFormat="1" applyFont="1" applyBorder="1"/>
    <xf numFmtId="0" fontId="4" fillId="0" borderId="0" xfId="1" applyFont="1" applyBorder="1" applyAlignment="1">
      <alignment horizontal="justify" vertical="top"/>
    </xf>
    <xf numFmtId="0" fontId="4" fillId="2" borderId="0" xfId="1" applyFont="1" applyFill="1" applyBorder="1" applyAlignment="1">
      <alignment vertical="top"/>
    </xf>
    <xf numFmtId="4" fontId="4" fillId="0" borderId="0" xfId="1" applyNumberFormat="1" applyFont="1" applyBorder="1"/>
    <xf numFmtId="44" fontId="4" fillId="0" borderId="0" xfId="1" applyNumberFormat="1" applyFont="1" applyBorder="1"/>
    <xf numFmtId="0" fontId="4" fillId="8" borderId="0" xfId="1" applyFont="1" applyFill="1" applyBorder="1"/>
    <xf numFmtId="0" fontId="4" fillId="7" borderId="0" xfId="1" applyFont="1" applyFill="1" applyBorder="1"/>
    <xf numFmtId="43" fontId="4" fillId="0" borderId="0" xfId="10" applyFont="1" applyBorder="1"/>
    <xf numFmtId="3" fontId="4" fillId="2" borderId="0" xfId="1" applyNumberFormat="1" applyFont="1" applyFill="1" applyBorder="1"/>
    <xf numFmtId="9" fontId="15" fillId="2" borderId="7" xfId="0" applyNumberFormat="1" applyFont="1" applyFill="1" applyBorder="1" applyAlignment="1" applyProtection="1">
      <alignment horizontal="center" vertical="top" wrapText="1"/>
      <protection locked="0"/>
    </xf>
    <xf numFmtId="0" fontId="41" fillId="2" borderId="1" xfId="0" applyFont="1" applyFill="1" applyBorder="1" applyAlignment="1">
      <alignment vertical="top" wrapText="1"/>
    </xf>
    <xf numFmtId="3" fontId="5" fillId="6" borderId="1" xfId="0" applyNumberFormat="1" applyFont="1" applyFill="1" applyBorder="1" applyAlignment="1">
      <alignment horizontal="center" vertical="top"/>
    </xf>
    <xf numFmtId="3" fontId="3" fillId="6" borderId="1" xfId="0" applyNumberFormat="1" applyFont="1" applyFill="1" applyBorder="1" applyAlignment="1">
      <alignment horizontal="center" vertical="top"/>
    </xf>
    <xf numFmtId="0" fontId="21" fillId="6" borderId="1" xfId="1" applyFont="1" applyFill="1" applyBorder="1" applyAlignment="1">
      <alignment horizontal="center" vertical="top" wrapText="1"/>
    </xf>
    <xf numFmtId="3" fontId="11" fillId="6" borderId="1" xfId="1" applyNumberFormat="1" applyFont="1" applyFill="1" applyBorder="1" applyAlignment="1">
      <alignment horizontal="center" vertical="top" wrapText="1"/>
    </xf>
    <xf numFmtId="3" fontId="14" fillId="6" borderId="1" xfId="1" applyNumberFormat="1" applyFont="1" applyFill="1" applyBorder="1" applyAlignment="1">
      <alignment horizontal="center" vertical="top" wrapText="1"/>
    </xf>
    <xf numFmtId="0" fontId="5" fillId="6" borderId="1" xfId="0" applyFont="1" applyFill="1" applyBorder="1" applyAlignment="1">
      <alignment horizontal="center" vertical="top"/>
    </xf>
    <xf numFmtId="3" fontId="5" fillId="6" borderId="1" xfId="1" applyNumberFormat="1" applyFont="1" applyFill="1" applyBorder="1" applyAlignment="1">
      <alignment horizontal="center" vertical="top" wrapText="1"/>
    </xf>
    <xf numFmtId="9" fontId="13" fillId="2" borderId="7" xfId="0" applyNumberFormat="1" applyFont="1" applyFill="1" applyBorder="1" applyAlignment="1">
      <alignment horizontal="center" vertical="top" wrapText="1"/>
    </xf>
    <xf numFmtId="3" fontId="13" fillId="2" borderId="7" xfId="0" applyNumberFormat="1" applyFont="1" applyFill="1" applyBorder="1" applyAlignment="1">
      <alignment horizontal="center" vertical="top" wrapText="1"/>
    </xf>
    <xf numFmtId="49" fontId="14" fillId="6" borderId="1" xfId="1" applyNumberFormat="1" applyFont="1" applyFill="1" applyBorder="1" applyAlignment="1">
      <alignment horizontal="center" vertical="top" wrapText="1"/>
    </xf>
    <xf numFmtId="0" fontId="42" fillId="10" borderId="7" xfId="1" applyFont="1" applyFill="1" applyBorder="1" applyAlignment="1">
      <alignment horizontal="center" vertical="center" wrapText="1"/>
    </xf>
    <xf numFmtId="0" fontId="32" fillId="10" borderId="7" xfId="1" applyFont="1" applyFill="1" applyBorder="1" applyAlignment="1">
      <alignment horizontal="center" vertical="center" wrapText="1"/>
    </xf>
    <xf numFmtId="9"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0" fontId="21" fillId="2" borderId="1" xfId="1" applyNumberFormat="1" applyFont="1" applyFill="1" applyBorder="1" applyAlignment="1">
      <alignment vertical="top" wrapText="1"/>
    </xf>
    <xf numFmtId="10" fontId="21" fillId="2" borderId="1" xfId="1" applyNumberFormat="1" applyFont="1" applyFill="1" applyBorder="1" applyAlignment="1">
      <alignment horizontal="center" vertical="top" wrapText="1"/>
    </xf>
    <xf numFmtId="3" fontId="11" fillId="17" borderId="1" xfId="1" applyNumberFormat="1" applyFont="1" applyFill="1" applyBorder="1" applyAlignment="1">
      <alignment horizontal="center" vertical="top" wrapText="1"/>
    </xf>
    <xf numFmtId="0" fontId="3" fillId="17" borderId="1" xfId="0" applyFont="1" applyFill="1" applyBorder="1" applyAlignment="1">
      <alignment horizontal="center" vertical="top"/>
    </xf>
    <xf numFmtId="3" fontId="14" fillId="17" borderId="1" xfId="1" applyNumberFormat="1" applyFont="1" applyFill="1" applyBorder="1" applyAlignment="1">
      <alignment horizontal="center" vertical="top" wrapText="1"/>
    </xf>
    <xf numFmtId="0" fontId="21" fillId="17" borderId="7" xfId="1" applyFont="1" applyFill="1" applyBorder="1" applyAlignment="1">
      <alignment horizontal="center" vertical="top" wrapText="1"/>
    </xf>
    <xf numFmtId="3" fontId="5" fillId="17" borderId="1" xfId="0" applyNumberFormat="1" applyFont="1" applyFill="1" applyBorder="1" applyAlignment="1">
      <alignment horizontal="center" vertical="top"/>
    </xf>
    <xf numFmtId="3" fontId="3" fillId="17" borderId="1" xfId="0" applyNumberFormat="1" applyFont="1" applyFill="1" applyBorder="1" applyAlignment="1">
      <alignment horizontal="center" vertical="top"/>
    </xf>
    <xf numFmtId="0" fontId="21" fillId="17" borderId="1" xfId="1" applyFont="1" applyFill="1" applyBorder="1" applyAlignment="1">
      <alignment horizontal="center" vertical="top" wrapText="1"/>
    </xf>
    <xf numFmtId="0" fontId="24" fillId="2" borderId="1" xfId="3" applyFont="1" applyFill="1" applyBorder="1" applyAlignment="1">
      <alignment horizontal="justify" vertical="top" wrapText="1"/>
    </xf>
    <xf numFmtId="0" fontId="5" fillId="17" borderId="1" xfId="0" applyFont="1" applyFill="1" applyBorder="1" applyAlignment="1">
      <alignment horizontal="center" vertical="top"/>
    </xf>
    <xf numFmtId="9" fontId="14" fillId="17" borderId="1" xfId="1" applyNumberFormat="1" applyFont="1" applyFill="1" applyBorder="1" applyAlignment="1">
      <alignment horizontal="center" vertical="top" wrapText="1"/>
    </xf>
    <xf numFmtId="3" fontId="13" fillId="17" borderId="1" xfId="0" applyNumberFormat="1" applyFont="1" applyFill="1" applyBorder="1" applyAlignment="1">
      <alignment horizontal="center" vertical="top" wrapText="1"/>
    </xf>
    <xf numFmtId="3" fontId="3" fillId="17" borderId="1" xfId="0" applyNumberFormat="1" applyFont="1" applyFill="1" applyBorder="1" applyAlignment="1">
      <alignment horizontal="center" vertical="top" wrapText="1"/>
    </xf>
    <xf numFmtId="0" fontId="13" fillId="17" borderId="1" xfId="0" applyFont="1" applyFill="1" applyBorder="1" applyAlignment="1">
      <alignment horizontal="center" vertical="top" wrapText="1"/>
    </xf>
    <xf numFmtId="3" fontId="13" fillId="17" borderId="2" xfId="0" applyNumberFormat="1" applyFont="1" applyFill="1" applyBorder="1" applyAlignment="1">
      <alignment horizontal="center" vertical="top" wrapText="1"/>
    </xf>
    <xf numFmtId="3" fontId="15" fillId="17" borderId="1" xfId="0" applyNumberFormat="1" applyFont="1" applyFill="1" applyBorder="1" applyAlignment="1">
      <alignment horizontal="center" vertical="top" wrapText="1"/>
    </xf>
    <xf numFmtId="3" fontId="3" fillId="17" borderId="1" xfId="1" applyNumberFormat="1" applyFont="1" applyFill="1" applyBorder="1" applyAlignment="1">
      <alignment horizontal="center" vertical="top" wrapText="1"/>
    </xf>
    <xf numFmtId="3" fontId="5" fillId="17" borderId="1" xfId="1" applyNumberFormat="1" applyFont="1" applyFill="1" applyBorder="1" applyAlignment="1">
      <alignment horizontal="center" vertical="top" wrapText="1"/>
    </xf>
    <xf numFmtId="3" fontId="11" fillId="17" borderId="1" xfId="0" applyNumberFormat="1" applyFont="1" applyFill="1" applyBorder="1" applyAlignment="1">
      <alignment horizontal="center" vertical="top" wrapText="1"/>
    </xf>
    <xf numFmtId="3" fontId="14" fillId="17"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1" fontId="14" fillId="2" borderId="1" xfId="1" applyNumberFormat="1" applyFont="1" applyFill="1" applyBorder="1" applyAlignment="1">
      <alignment horizontal="center" vertical="top" wrapText="1"/>
    </xf>
    <xf numFmtId="1" fontId="11" fillId="2" borderId="1" xfId="1" applyNumberFormat="1" applyFont="1" applyFill="1" applyBorder="1" applyAlignment="1">
      <alignment horizontal="center" vertical="top" wrapText="1"/>
    </xf>
    <xf numFmtId="3" fontId="41" fillId="2" borderId="1" xfId="0" applyNumberFormat="1" applyFont="1" applyFill="1" applyBorder="1" applyAlignment="1">
      <alignment vertical="top" wrapText="1"/>
    </xf>
    <xf numFmtId="0" fontId="5" fillId="6" borderId="1" xfId="1" applyFont="1" applyFill="1" applyBorder="1" applyAlignment="1">
      <alignment horizontal="center" vertical="top" wrapText="1"/>
    </xf>
    <xf numFmtId="0" fontId="4" fillId="0" borderId="3" xfId="1" applyFont="1" applyBorder="1"/>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9" fontId="5" fillId="2" borderId="1" xfId="4" applyNumberFormat="1" applyFont="1" applyFill="1" applyBorder="1" applyAlignment="1">
      <alignment horizontal="center" vertical="top" wrapText="1"/>
    </xf>
    <xf numFmtId="0" fontId="13" fillId="17" borderId="2" xfId="0" applyFont="1" applyFill="1" applyBorder="1" applyAlignment="1">
      <alignment horizontal="center" vertical="top" wrapText="1"/>
    </xf>
    <xf numFmtId="3" fontId="15" fillId="2" borderId="1" xfId="0" applyNumberFormat="1" applyFont="1" applyFill="1" applyBorder="1" applyAlignment="1">
      <alignment vertical="top" wrapText="1"/>
    </xf>
    <xf numFmtId="9" fontId="14"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35" fillId="3" borderId="1" xfId="1" applyFont="1" applyFill="1" applyBorder="1" applyAlignment="1">
      <alignment horizontal="center" vertical="center" wrapText="1"/>
    </xf>
    <xf numFmtId="3" fontId="13" fillId="2" borderId="1" xfId="0" applyNumberFormat="1" applyFont="1" applyFill="1" applyBorder="1" applyAlignment="1">
      <alignment horizontal="center" vertical="top" wrapText="1"/>
    </xf>
    <xf numFmtId="0" fontId="11" fillId="17" borderId="1" xfId="1" applyFont="1" applyFill="1" applyBorder="1" applyAlignment="1">
      <alignment horizontal="center" vertical="top" wrapText="1"/>
    </xf>
    <xf numFmtId="4" fontId="0" fillId="0" borderId="0" xfId="0" applyNumberFormat="1"/>
    <xf numFmtId="3" fontId="13" fillId="2" borderId="1" xfId="0" applyNumberFormat="1" applyFont="1" applyFill="1" applyBorder="1" applyAlignment="1">
      <alignment horizontal="center" vertical="top" wrapText="1"/>
    </xf>
    <xf numFmtId="10" fontId="21" fillId="2" borderId="2" xfId="1" applyNumberFormat="1" applyFont="1" applyFill="1" applyBorder="1" applyAlignment="1">
      <alignment horizontal="center" vertical="top" wrapText="1"/>
    </xf>
    <xf numFmtId="10" fontId="21" fillId="6" borderId="7" xfId="1" applyNumberFormat="1" applyFont="1" applyFill="1" applyBorder="1" applyAlignment="1">
      <alignment horizontal="center" vertical="top" wrapText="1"/>
    </xf>
    <xf numFmtId="10" fontId="21" fillId="6" borderId="1" xfId="1" applyNumberFormat="1" applyFont="1" applyFill="1" applyBorder="1" applyAlignment="1">
      <alignment horizontal="center" vertical="top" wrapText="1"/>
    </xf>
    <xf numFmtId="0" fontId="21" fillId="6" borderId="7" xfId="1" applyFont="1" applyFill="1" applyBorder="1" applyAlignment="1">
      <alignment horizontal="center" vertical="top" wrapText="1"/>
    </xf>
    <xf numFmtId="9" fontId="11" fillId="6" borderId="1" xfId="1" applyNumberFormat="1" applyFont="1" applyFill="1" applyBorder="1" applyAlignment="1">
      <alignment horizontal="center" vertical="top" wrapText="1"/>
    </xf>
    <xf numFmtId="9" fontId="3"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5" fillId="6" borderId="1" xfId="0" applyNumberFormat="1" applyFont="1" applyFill="1" applyBorder="1" applyAlignment="1">
      <alignment horizontal="center" vertical="top" wrapText="1"/>
    </xf>
    <xf numFmtId="3" fontId="14" fillId="6" borderId="2" xfId="1" applyNumberFormat="1" applyFont="1" applyFill="1" applyBorder="1" applyAlignment="1">
      <alignment horizontal="center" vertical="top" wrapText="1"/>
    </xf>
    <xf numFmtId="0" fontId="48" fillId="0" borderId="0" xfId="0" applyFont="1"/>
    <xf numFmtId="3" fontId="13" fillId="2" borderId="1" xfId="0" applyNumberFormat="1" applyFont="1" applyFill="1" applyBorder="1" applyAlignment="1">
      <alignment horizontal="center" vertical="top" wrapText="1"/>
    </xf>
    <xf numFmtId="0" fontId="5" fillId="3" borderId="7" xfId="1" applyFont="1" applyFill="1" applyBorder="1" applyAlignment="1">
      <alignment horizontal="center" vertical="center" wrapText="1"/>
    </xf>
    <xf numFmtId="3" fontId="11" fillId="2" borderId="2" xfId="1" applyNumberFormat="1" applyFont="1" applyFill="1" applyBorder="1" applyAlignment="1">
      <alignment horizontal="center" vertical="top" wrapText="1"/>
    </xf>
    <xf numFmtId="0" fontId="49" fillId="3" borderId="7" xfId="1" applyFont="1" applyFill="1" applyBorder="1" applyAlignment="1">
      <alignment horizontal="center" vertical="center" wrapText="1"/>
    </xf>
    <xf numFmtId="3" fontId="50" fillId="6" borderId="1"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9" fontId="3" fillId="6" borderId="1" xfId="0" applyNumberFormat="1" applyFont="1" applyFill="1" applyBorder="1" applyAlignment="1">
      <alignment horizontal="center" vertical="top"/>
    </xf>
    <xf numFmtId="9" fontId="13" fillId="6"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5" fillId="6" borderId="1" xfId="0" applyNumberFormat="1" applyFont="1" applyFill="1" applyBorder="1" applyAlignment="1">
      <alignment horizontal="center" vertical="top" wrapText="1"/>
    </xf>
    <xf numFmtId="0" fontId="4" fillId="0" borderId="1" xfId="1" applyFont="1" applyBorder="1" applyAlignment="1">
      <alignment horizontal="center" vertical="top"/>
    </xf>
    <xf numFmtId="2" fontId="4" fillId="2" borderId="4" xfId="1" applyNumberFormat="1" applyFont="1" applyFill="1" applyBorder="1" applyAlignment="1">
      <alignment horizontal="center" vertical="top"/>
    </xf>
    <xf numFmtId="0" fontId="3" fillId="2" borderId="1" xfId="4" applyNumberFormat="1" applyFont="1" applyFill="1" applyBorder="1" applyAlignment="1">
      <alignment horizontal="justify" vertical="top" wrapText="1"/>
    </xf>
    <xf numFmtId="2" fontId="15" fillId="2" borderId="1" xfId="0" applyNumberFormat="1" applyFont="1" applyFill="1" applyBorder="1" applyAlignment="1">
      <alignment horizontal="justify" vertical="top" wrapText="1"/>
    </xf>
    <xf numFmtId="49" fontId="32" fillId="2" borderId="7" xfId="0" applyNumberFormat="1" applyFont="1" applyFill="1" applyBorder="1" applyAlignment="1">
      <alignment horizontal="center" vertical="top" wrapText="1"/>
    </xf>
    <xf numFmtId="0" fontId="3" fillId="2" borderId="1" xfId="3" applyFont="1" applyFill="1" applyBorder="1" applyAlignment="1">
      <alignment horizontal="left" vertical="top" wrapText="1"/>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9" fontId="5" fillId="2" borderId="1" xfId="0" applyNumberFormat="1" applyFont="1" applyFill="1" applyBorder="1" applyAlignment="1">
      <alignment horizontal="center" vertical="top"/>
    </xf>
    <xf numFmtId="0" fontId="37" fillId="2" borderId="1" xfId="0" applyFont="1" applyFill="1" applyBorder="1" applyAlignment="1">
      <alignment horizontal="center" vertical="top" wrapText="1"/>
    </xf>
    <xf numFmtId="0" fontId="52" fillId="0" borderId="1" xfId="1" applyFont="1" applyBorder="1"/>
    <xf numFmtId="9" fontId="15" fillId="2" borderId="7" xfId="0" applyNumberFormat="1" applyFont="1" applyFill="1" applyBorder="1" applyAlignment="1">
      <alignment horizontal="center" vertical="top" wrapText="1"/>
    </xf>
    <xf numFmtId="9" fontId="13" fillId="6" borderId="7" xfId="0" applyNumberFormat="1" applyFont="1" applyFill="1" applyBorder="1" applyAlignment="1">
      <alignment horizontal="center" vertical="top" wrapText="1"/>
    </xf>
    <xf numFmtId="4" fontId="45" fillId="2" borderId="1" xfId="1" applyNumberFormat="1" applyFont="1" applyFill="1" applyBorder="1" applyAlignment="1">
      <alignment vertical="top" wrapText="1"/>
    </xf>
    <xf numFmtId="4" fontId="17" fillId="2" borderId="1" xfId="1" applyNumberFormat="1" applyFont="1" applyFill="1" applyBorder="1" applyAlignment="1">
      <alignment vertical="top" wrapText="1"/>
    </xf>
    <xf numFmtId="9" fontId="22" fillId="6" borderId="1" xfId="12" applyFont="1" applyFill="1" applyBorder="1" applyAlignment="1">
      <alignment horizontal="center" vertical="top" wrapText="1"/>
    </xf>
    <xf numFmtId="0" fontId="53" fillId="2" borderId="1" xfId="4" applyNumberFormat="1" applyFont="1" applyFill="1" applyBorder="1" applyAlignment="1">
      <alignment horizontal="justify" vertical="top" wrapText="1"/>
    </xf>
    <xf numFmtId="0" fontId="14" fillId="17" borderId="1" xfId="1" applyFont="1" applyFill="1" applyBorder="1" applyAlignment="1">
      <alignment horizontal="center" vertical="top" wrapText="1"/>
    </xf>
    <xf numFmtId="0" fontId="4" fillId="0" borderId="7" xfId="1" applyFont="1" applyBorder="1"/>
    <xf numFmtId="0" fontId="3" fillId="2" borderId="7" xfId="0" applyFont="1" applyFill="1" applyBorder="1" applyAlignment="1">
      <alignment horizontal="justify" vertical="top" wrapText="1"/>
    </xf>
    <xf numFmtId="3" fontId="14" fillId="2" borderId="7" xfId="1" applyNumberFormat="1" applyFont="1" applyFill="1" applyBorder="1" applyAlignment="1">
      <alignment horizontal="center" vertical="top" wrapText="1"/>
    </xf>
    <xf numFmtId="3" fontId="14" fillId="17" borderId="7" xfId="1" applyNumberFormat="1" applyFont="1" applyFill="1" applyBorder="1" applyAlignment="1">
      <alignment horizontal="center" vertical="top" wrapText="1"/>
    </xf>
    <xf numFmtId="0" fontId="14" fillId="2" borderId="7" xfId="1" applyFont="1" applyFill="1" applyBorder="1" applyAlignment="1">
      <alignment horizontal="center" vertical="top" wrapText="1"/>
    </xf>
    <xf numFmtId="9" fontId="14" fillId="2" borderId="7" xfId="1"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1" fillId="6" borderId="1" xfId="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4" fillId="0" borderId="1" xfId="1" applyFont="1" applyBorder="1" applyAlignment="1">
      <alignment vertical="top"/>
    </xf>
    <xf numFmtId="3" fontId="13" fillId="2" borderId="1" xfId="0" applyNumberFormat="1" applyFont="1" applyFill="1" applyBorder="1" applyAlignment="1">
      <alignment horizontal="center" vertical="top" wrapText="1"/>
    </xf>
    <xf numFmtId="0" fontId="3" fillId="6" borderId="1" xfId="0" applyFont="1" applyFill="1" applyBorder="1" applyAlignment="1">
      <alignment horizontal="center" vertical="top"/>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 xfId="0" applyFont="1" applyFill="1" applyBorder="1" applyAlignment="1">
      <alignment horizontal="center" vertical="top" wrapText="1"/>
    </xf>
    <xf numFmtId="3" fontId="15" fillId="2" borderId="4" xfId="0" applyNumberFormat="1" applyFont="1" applyFill="1" applyBorder="1" applyAlignment="1">
      <alignment horizontal="justify"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49" fontId="13" fillId="17" borderId="1" xfId="0" applyNumberFormat="1" applyFont="1" applyFill="1" applyBorder="1" applyAlignment="1">
      <alignment horizontal="center" vertical="top" wrapText="1"/>
    </xf>
    <xf numFmtId="2" fontId="5" fillId="2" borderId="1" xfId="0" applyNumberFormat="1" applyFont="1" applyFill="1" applyBorder="1" applyAlignment="1">
      <alignment horizontal="center" vertical="top"/>
    </xf>
    <xf numFmtId="4" fontId="3" fillId="2" borderId="1" xfId="1" applyNumberFormat="1" applyFont="1" applyFill="1" applyBorder="1" applyAlignment="1">
      <alignment horizontal="justify" vertical="top" wrapText="1"/>
    </xf>
    <xf numFmtId="0" fontId="15" fillId="17" borderId="1" xfId="0" applyFont="1" applyFill="1" applyBorder="1" applyAlignment="1">
      <alignment horizontal="center" vertical="top" wrapText="1"/>
    </xf>
    <xf numFmtId="0" fontId="55" fillId="2" borderId="1" xfId="1" applyFont="1" applyFill="1" applyBorder="1" applyAlignment="1">
      <alignment vertical="center" wrapText="1"/>
    </xf>
    <xf numFmtId="0" fontId="15" fillId="2" borderId="7" xfId="0" applyFont="1" applyFill="1" applyBorder="1" applyAlignment="1">
      <alignment horizontal="center" vertical="top" wrapText="1"/>
    </xf>
    <xf numFmtId="0" fontId="23" fillId="2" borderId="1" xfId="9" applyFont="1" applyFill="1" applyBorder="1" applyAlignment="1">
      <alignment horizontal="center"/>
    </xf>
    <xf numFmtId="0" fontId="15" fillId="2" borderId="7" xfId="0" applyFont="1" applyFill="1" applyBorder="1" applyAlignment="1">
      <alignment horizontal="justify"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3" fontId="13" fillId="2" borderId="1" xfId="0" applyNumberFormat="1" applyFont="1" applyFill="1" applyBorder="1" applyAlignment="1">
      <alignment horizontal="center" vertical="top" wrapText="1"/>
    </xf>
    <xf numFmtId="9" fontId="15" fillId="6" borderId="7"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13" fillId="6" borderId="1" xfId="0" applyNumberFormat="1" applyFont="1" applyFill="1" applyBorder="1" applyAlignment="1">
      <alignment horizontal="center" vertical="top" wrapText="1"/>
    </xf>
    <xf numFmtId="49" fontId="5" fillId="6" borderId="1" xfId="0" applyNumberFormat="1" applyFont="1" applyFill="1" applyBorder="1" applyAlignment="1">
      <alignment horizontal="center" vertical="top"/>
    </xf>
    <xf numFmtId="10" fontId="33" fillId="8" borderId="1" xfId="1" applyNumberFormat="1" applyFont="1" applyFill="1" applyBorder="1" applyAlignment="1">
      <alignment horizontal="center" vertical="center" wrapText="1"/>
    </xf>
    <xf numFmtId="4" fontId="39" fillId="2" borderId="11" xfId="1" applyNumberFormat="1" applyFont="1" applyFill="1" applyBorder="1" applyAlignment="1">
      <alignment vertical="top" wrapText="1"/>
    </xf>
    <xf numFmtId="4" fontId="45" fillId="2" borderId="5" xfId="1" applyNumberFormat="1" applyFont="1" applyFill="1" applyBorder="1" applyAlignment="1">
      <alignment vertical="top" wrapText="1"/>
    </xf>
    <xf numFmtId="9" fontId="14" fillId="5" borderId="1" xfId="1" applyNumberFormat="1" applyFont="1" applyFill="1" applyBorder="1" applyAlignment="1">
      <alignment horizontal="center" vertical="top" wrapText="1"/>
    </xf>
    <xf numFmtId="49" fontId="4" fillId="0" borderId="0" xfId="1" applyNumberFormat="1" applyFont="1" applyBorder="1"/>
    <xf numFmtId="49" fontId="3" fillId="6" borderId="1" xfId="0" applyNumberFormat="1" applyFont="1" applyFill="1" applyBorder="1" applyAlignment="1">
      <alignment horizontal="center" vertical="top"/>
    </xf>
    <xf numFmtId="0" fontId="13" fillId="2" borderId="4" xfId="0" applyFont="1" applyFill="1" applyBorder="1" applyAlignment="1">
      <alignment horizontal="justify" vertical="top" wrapText="1"/>
    </xf>
    <xf numFmtId="0" fontId="13" fillId="2" borderId="6" xfId="0" applyFont="1" applyFill="1" applyBorder="1" applyAlignment="1">
      <alignment horizontal="justify" vertical="top" wrapText="1"/>
    </xf>
    <xf numFmtId="0" fontId="13" fillId="2" borderId="5" xfId="0" applyFont="1" applyFill="1" applyBorder="1" applyAlignment="1">
      <alignment horizontal="justify" vertical="top" wrapText="1"/>
    </xf>
    <xf numFmtId="0" fontId="13" fillId="2" borderId="1" xfId="0" applyFont="1" applyFill="1" applyBorder="1" applyAlignment="1">
      <alignment horizontal="center" vertical="top" wrapText="1"/>
    </xf>
    <xf numFmtId="0" fontId="6" fillId="3" borderId="14"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2" fillId="10" borderId="1" xfId="1" applyFont="1" applyFill="1" applyBorder="1" applyAlignment="1">
      <alignment horizontal="left" vertical="center" wrapText="1"/>
    </xf>
    <xf numFmtId="3" fontId="13" fillId="2" borderId="1" xfId="0" applyNumberFormat="1" applyFont="1" applyFill="1" applyBorder="1" applyAlignment="1">
      <alignment horizontal="center" vertical="top" wrapText="1"/>
    </xf>
    <xf numFmtId="0" fontId="10" fillId="14" borderId="1" xfId="1" applyFont="1" applyFill="1" applyBorder="1" applyAlignment="1">
      <alignment horizontal="left" vertical="center" wrapText="1"/>
    </xf>
    <xf numFmtId="0" fontId="10" fillId="2" borderId="1" xfId="0" applyFont="1" applyFill="1" applyBorder="1" applyAlignment="1">
      <alignment horizontal="justify"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22" fillId="14" borderId="1" xfId="0" applyFont="1" applyFill="1" applyBorder="1" applyAlignment="1">
      <alignment horizontal="justify" vertical="center" wrapText="1"/>
    </xf>
    <xf numFmtId="0" fontId="37" fillId="2" borderId="1" xfId="1" applyFont="1" applyFill="1" applyBorder="1" applyAlignment="1">
      <alignment horizontal="left" vertical="top" wrapText="1"/>
    </xf>
    <xf numFmtId="0" fontId="22" fillId="6" borderId="4" xfId="0" applyFont="1" applyFill="1" applyBorder="1" applyAlignment="1">
      <alignment horizontal="justify" vertical="justify" wrapText="1"/>
    </xf>
    <xf numFmtId="0" fontId="22" fillId="6" borderId="6" xfId="0" applyFont="1" applyFill="1" applyBorder="1" applyAlignment="1">
      <alignment horizontal="justify" vertical="justify" wrapText="1"/>
    </xf>
    <xf numFmtId="0" fontId="22" fillId="6" borderId="5" xfId="0" applyFont="1" applyFill="1" applyBorder="1" applyAlignment="1">
      <alignment horizontal="justify" vertical="justify" wrapText="1"/>
    </xf>
    <xf numFmtId="0" fontId="10" fillId="14" borderId="1" xfId="1" applyFont="1" applyFill="1" applyBorder="1" applyAlignment="1">
      <alignment horizontal="left" vertical="top" wrapText="1"/>
    </xf>
    <xf numFmtId="0" fontId="43" fillId="2" borderId="1" xfId="0" applyFont="1" applyFill="1" applyBorder="1" applyAlignment="1">
      <alignment horizontal="left" vertical="top" wrapText="1"/>
    </xf>
    <xf numFmtId="0" fontId="13" fillId="2" borderId="7" xfId="0" applyFont="1" applyFill="1" applyBorder="1" applyAlignment="1">
      <alignment horizontal="center" vertical="top" wrapText="1"/>
    </xf>
    <xf numFmtId="0" fontId="10" fillId="6" borderId="1"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22" fillId="14" borderId="4" xfId="0" applyFont="1" applyFill="1" applyBorder="1" applyAlignment="1">
      <alignment horizontal="justify" vertical="justify" wrapText="1"/>
    </xf>
    <xf numFmtId="0" fontId="22" fillId="14" borderId="6" xfId="0" applyFont="1" applyFill="1" applyBorder="1" applyAlignment="1">
      <alignment horizontal="justify" vertical="justify" wrapText="1"/>
    </xf>
    <xf numFmtId="0" fontId="22" fillId="14" borderId="5" xfId="0" applyFont="1" applyFill="1" applyBorder="1" applyAlignment="1">
      <alignment horizontal="justify" vertical="justify" wrapText="1"/>
    </xf>
    <xf numFmtId="0" fontId="2" fillId="10" borderId="4" xfId="1" applyFont="1" applyFill="1" applyBorder="1" applyAlignment="1">
      <alignment horizontal="left" vertical="center" wrapText="1"/>
    </xf>
    <xf numFmtId="0" fontId="2" fillId="10" borderId="6" xfId="1" applyFont="1" applyFill="1" applyBorder="1" applyAlignment="1">
      <alignment horizontal="left" vertical="center" wrapText="1"/>
    </xf>
    <xf numFmtId="0" fontId="2" fillId="10" borderId="5" xfId="1" applyFont="1" applyFill="1" applyBorder="1" applyAlignment="1">
      <alignment horizontal="left" vertical="center"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5" xfId="0" applyFont="1" applyFill="1" applyBorder="1" applyAlignment="1">
      <alignment horizontal="center" vertical="top" wrapText="1"/>
    </xf>
    <xf numFmtId="0" fontId="25" fillId="8" borderId="4" xfId="1" applyFont="1" applyFill="1" applyBorder="1" applyAlignment="1">
      <alignment horizontal="right" vertical="center" wrapText="1"/>
    </xf>
    <xf numFmtId="0" fontId="25" fillId="8" borderId="6" xfId="1" applyFont="1" applyFill="1" applyBorder="1" applyAlignment="1">
      <alignment horizontal="right" vertical="center" wrapText="1"/>
    </xf>
    <xf numFmtId="0" fontId="25" fillId="8" borderId="5" xfId="1" applyFont="1" applyFill="1" applyBorder="1" applyAlignment="1">
      <alignment horizontal="right" vertical="center" wrapText="1"/>
    </xf>
    <xf numFmtId="0" fontId="10" fillId="2" borderId="4"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5" xfId="0" applyFont="1" applyFill="1" applyBorder="1" applyAlignment="1">
      <alignment horizontal="left" vertical="top" wrapText="1"/>
    </xf>
    <xf numFmtId="0" fontId="5" fillId="2" borderId="1" xfId="1" applyFont="1" applyFill="1" applyBorder="1" applyAlignment="1">
      <alignment horizontal="left" vertical="top" wrapText="1"/>
    </xf>
    <xf numFmtId="0" fontId="5" fillId="2" borderId="4"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5" xfId="1" applyFont="1" applyFill="1" applyBorder="1" applyAlignment="1">
      <alignment horizontal="left" vertical="center" wrapText="1"/>
    </xf>
    <xf numFmtId="0" fontId="10" fillId="2" borderId="4" xfId="0" applyFont="1" applyFill="1" applyBorder="1" applyAlignment="1">
      <alignment horizontal="justify" vertical="justify" wrapText="1"/>
    </xf>
    <xf numFmtId="0" fontId="10" fillId="2" borderId="6" xfId="0" applyFont="1" applyFill="1" applyBorder="1" applyAlignment="1">
      <alignment horizontal="justify" vertical="justify" wrapText="1"/>
    </xf>
    <xf numFmtId="0" fontId="10" fillId="2" borderId="5" xfId="0" applyFont="1" applyFill="1" applyBorder="1" applyAlignment="1">
      <alignment horizontal="justify" vertical="justify" wrapText="1"/>
    </xf>
    <xf numFmtId="0" fontId="5" fillId="2" borderId="1" xfId="1" applyFont="1" applyFill="1" applyBorder="1" applyAlignment="1">
      <alignment horizontal="left" vertical="center" wrapText="1"/>
    </xf>
    <xf numFmtId="0" fontId="43" fillId="14" borderId="1" xfId="0" applyFont="1" applyFill="1" applyBorder="1" applyAlignment="1">
      <alignment horizontal="left" vertical="top" wrapText="1"/>
    </xf>
    <xf numFmtId="0" fontId="22" fillId="14" borderId="1" xfId="0" applyFont="1" applyFill="1" applyBorder="1" applyAlignment="1">
      <alignment horizontal="justify" vertical="justify" wrapText="1"/>
    </xf>
    <xf numFmtId="0" fontId="25" fillId="8" borderId="4" xfId="1" applyFont="1" applyFill="1" applyBorder="1" applyAlignment="1">
      <alignment horizontal="left" vertical="center" wrapText="1"/>
    </xf>
    <xf numFmtId="0" fontId="25" fillId="8" borderId="6" xfId="1" applyFont="1" applyFill="1" applyBorder="1" applyAlignment="1">
      <alignment horizontal="left" vertical="center" wrapText="1"/>
    </xf>
    <xf numFmtId="0" fontId="41" fillId="2" borderId="11" xfId="0" applyFont="1" applyFill="1" applyBorder="1" applyAlignment="1">
      <alignment horizontal="justify" vertical="top" wrapText="1"/>
    </xf>
    <xf numFmtId="0" fontId="41" fillId="2" borderId="13" xfId="0" applyFont="1" applyFill="1" applyBorder="1" applyAlignment="1">
      <alignment horizontal="justify" vertical="top" wrapText="1"/>
    </xf>
    <xf numFmtId="0" fontId="41" fillId="2" borderId="14" xfId="0" applyFont="1" applyFill="1" applyBorder="1" applyAlignment="1">
      <alignment horizontal="justify" vertical="top" wrapText="1"/>
    </xf>
    <xf numFmtId="0" fontId="41" fillId="2" borderId="15" xfId="0" applyFont="1" applyFill="1" applyBorder="1" applyAlignment="1">
      <alignment horizontal="justify" vertical="top" wrapText="1"/>
    </xf>
    <xf numFmtId="0" fontId="41" fillId="2" borderId="10" xfId="0" applyFont="1" applyFill="1" applyBorder="1" applyAlignment="1">
      <alignment horizontal="justify" vertical="top" wrapText="1"/>
    </xf>
    <xf numFmtId="0" fontId="41" fillId="2" borderId="9" xfId="0" applyFont="1" applyFill="1" applyBorder="1" applyAlignment="1">
      <alignment horizontal="justify" vertical="top" wrapText="1"/>
    </xf>
    <xf numFmtId="0" fontId="43" fillId="14" borderId="1" xfId="0" applyNumberFormat="1" applyFont="1" applyFill="1" applyBorder="1" applyAlignment="1">
      <alignment horizontal="left" vertical="top"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justify" vertical="justify" wrapText="1"/>
    </xf>
    <xf numFmtId="0" fontId="4" fillId="0" borderId="4" xfId="1" applyFont="1" applyBorder="1" applyAlignment="1">
      <alignment horizontal="justify" vertical="top"/>
    </xf>
    <xf numFmtId="0" fontId="4" fillId="0" borderId="6" xfId="1" applyFont="1" applyBorder="1" applyAlignment="1">
      <alignment horizontal="justify" vertical="top"/>
    </xf>
    <xf numFmtId="0" fontId="4" fillId="0" borderId="5" xfId="1" applyFont="1" applyBorder="1" applyAlignment="1">
      <alignment horizontal="justify" vertical="top"/>
    </xf>
    <xf numFmtId="0" fontId="5" fillId="2" borderId="1" xfId="0" applyFont="1" applyFill="1" applyBorder="1" applyAlignment="1">
      <alignment horizontal="justify" vertical="top" wrapText="1"/>
    </xf>
    <xf numFmtId="0" fontId="43" fillId="2" borderId="4" xfId="0" applyFont="1" applyFill="1" applyBorder="1" applyAlignment="1">
      <alignment vertical="top" wrapText="1"/>
    </xf>
    <xf numFmtId="0" fontId="43" fillId="2" borderId="6" xfId="0" applyFont="1" applyFill="1" applyBorder="1" applyAlignment="1">
      <alignment vertical="top" wrapText="1"/>
    </xf>
    <xf numFmtId="0" fontId="43" fillId="2" borderId="5" xfId="0" applyFont="1" applyFill="1" applyBorder="1" applyAlignment="1">
      <alignment vertical="top" wrapText="1"/>
    </xf>
    <xf numFmtId="0" fontId="11" fillId="3" borderId="10"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15" borderId="1" xfId="1" applyFont="1" applyFill="1" applyBorder="1" applyAlignment="1">
      <alignment horizontal="left" vertical="top" wrapText="1"/>
    </xf>
    <xf numFmtId="0" fontId="4" fillId="2" borderId="4" xfId="1" applyFont="1" applyFill="1" applyBorder="1" applyAlignment="1">
      <alignment horizontal="center"/>
    </xf>
    <xf numFmtId="0" fontId="4" fillId="2" borderId="6" xfId="1" applyFont="1" applyFill="1" applyBorder="1" applyAlignment="1">
      <alignment horizontal="center"/>
    </xf>
    <xf numFmtId="0" fontId="4" fillId="2" borderId="5" xfId="1" applyFont="1" applyFill="1" applyBorder="1" applyAlignment="1">
      <alignment horizontal="center"/>
    </xf>
    <xf numFmtId="0" fontId="10" fillId="15" borderId="1" xfId="1" applyFont="1" applyFill="1" applyBorder="1" applyAlignment="1">
      <alignment horizontal="left" vertical="center" wrapText="1"/>
    </xf>
    <xf numFmtId="2" fontId="13" fillId="2" borderId="4" xfId="0" applyNumberFormat="1" applyFont="1" applyFill="1" applyBorder="1" applyAlignment="1">
      <alignment horizontal="justify" vertical="top" wrapText="1"/>
    </xf>
    <xf numFmtId="2" fontId="13" fillId="2" borderId="6" xfId="0" applyNumberFormat="1" applyFont="1" applyFill="1" applyBorder="1" applyAlignment="1">
      <alignment horizontal="justify" vertical="top" wrapText="1"/>
    </xf>
    <xf numFmtId="2" fontId="13" fillId="2" borderId="5" xfId="0" applyNumberFormat="1" applyFont="1" applyFill="1" applyBorder="1" applyAlignment="1">
      <alignment horizontal="justify" vertical="top" wrapText="1"/>
    </xf>
    <xf numFmtId="0" fontId="4" fillId="2" borderId="1" xfId="1" applyFont="1" applyFill="1" applyBorder="1" applyAlignment="1">
      <alignment horizontal="center"/>
    </xf>
    <xf numFmtId="0" fontId="2" fillId="10" borderId="2" xfId="1" applyFont="1" applyFill="1" applyBorder="1" applyAlignment="1">
      <alignment horizontal="left" vertical="center" wrapText="1"/>
    </xf>
    <xf numFmtId="0" fontId="12" fillId="2" borderId="11" xfId="1" applyFont="1" applyFill="1" applyBorder="1" applyAlignment="1">
      <alignment horizontal="center" vertical="top" wrapText="1"/>
    </xf>
    <xf numFmtId="0" fontId="12" fillId="2" borderId="12" xfId="1" applyFont="1" applyFill="1" applyBorder="1" applyAlignment="1">
      <alignment horizontal="center" vertical="top" wrapText="1"/>
    </xf>
    <xf numFmtId="0" fontId="12" fillId="2" borderId="13" xfId="1" applyFont="1" applyFill="1" applyBorder="1" applyAlignment="1">
      <alignment horizontal="center" vertical="top" wrapText="1"/>
    </xf>
    <xf numFmtId="0" fontId="5" fillId="14" borderId="1" xfId="0" applyFont="1" applyFill="1" applyBorder="1" applyAlignment="1">
      <alignment horizontal="justify" vertical="justify" wrapText="1"/>
    </xf>
    <xf numFmtId="0" fontId="10" fillId="15" borderId="1" xfId="0" applyFont="1" applyFill="1" applyBorder="1" applyAlignment="1">
      <alignment horizontal="left" vertical="top" wrapText="1"/>
    </xf>
    <xf numFmtId="0" fontId="5" fillId="15" borderId="1" xfId="0" applyFont="1" applyFill="1" applyBorder="1" applyAlignment="1">
      <alignment horizontal="justify" vertical="justify" wrapText="1"/>
    </xf>
    <xf numFmtId="2" fontId="4" fillId="2" borderId="4" xfId="1" applyNumberFormat="1" applyFont="1" applyFill="1" applyBorder="1" applyAlignment="1">
      <alignment horizontal="center" vertical="top"/>
    </xf>
    <xf numFmtId="2" fontId="4" fillId="2" borderId="6" xfId="1" applyNumberFormat="1" applyFont="1" applyFill="1" applyBorder="1" applyAlignment="1">
      <alignment horizontal="center" vertical="top"/>
    </xf>
    <xf numFmtId="2" fontId="4" fillId="2" borderId="5" xfId="1" applyNumberFormat="1" applyFont="1" applyFill="1" applyBorder="1" applyAlignment="1">
      <alignment horizontal="center" vertical="top"/>
    </xf>
    <xf numFmtId="0" fontId="12" fillId="2" borderId="1" xfId="1" applyFont="1" applyFill="1" applyBorder="1" applyAlignment="1">
      <alignment horizontal="center" vertical="top" wrapText="1"/>
    </xf>
    <xf numFmtId="0" fontId="13" fillId="2" borderId="1" xfId="0" applyFont="1" applyFill="1" applyBorder="1" applyAlignment="1">
      <alignment horizontal="justify" vertical="top" wrapText="1"/>
    </xf>
    <xf numFmtId="0" fontId="12" fillId="2" borderId="4" xfId="1" applyFont="1" applyFill="1" applyBorder="1" applyAlignment="1">
      <alignment horizontal="center" vertical="top" wrapText="1"/>
    </xf>
    <xf numFmtId="0" fontId="12" fillId="2" borderId="6" xfId="1" applyFont="1" applyFill="1" applyBorder="1" applyAlignment="1">
      <alignment horizontal="center" vertical="top" wrapText="1"/>
    </xf>
    <xf numFmtId="0" fontId="12" fillId="2" borderId="5" xfId="1" applyFont="1" applyFill="1" applyBorder="1" applyAlignment="1">
      <alignment horizontal="center" vertical="top" wrapText="1"/>
    </xf>
    <xf numFmtId="0" fontId="5" fillId="15" borderId="4" xfId="0" applyFont="1" applyFill="1" applyBorder="1" applyAlignment="1">
      <alignment horizontal="left" vertical="top" wrapText="1"/>
    </xf>
    <xf numFmtId="0" fontId="5" fillId="15" borderId="6" xfId="0" applyFont="1" applyFill="1" applyBorder="1" applyAlignment="1">
      <alignment horizontal="left" vertical="top" wrapText="1"/>
    </xf>
    <xf numFmtId="0" fontId="5" fillId="15" borderId="5" xfId="0" applyFont="1" applyFill="1" applyBorder="1" applyAlignment="1">
      <alignment horizontal="left" vertical="top" wrapText="1"/>
    </xf>
    <xf numFmtId="0" fontId="10" fillId="15" borderId="4" xfId="0" applyFont="1" applyFill="1" applyBorder="1" applyAlignment="1">
      <alignment horizontal="left" vertical="top" wrapText="1"/>
    </xf>
    <xf numFmtId="0" fontId="10" fillId="15" borderId="6" xfId="0" applyFont="1" applyFill="1" applyBorder="1" applyAlignment="1">
      <alignment horizontal="left" vertical="top" wrapText="1"/>
    </xf>
    <xf numFmtId="0" fontId="10" fillId="15" borderId="5" xfId="0" applyFont="1" applyFill="1" applyBorder="1" applyAlignment="1">
      <alignment horizontal="left" vertical="top"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3" fillId="2" borderId="4" xfId="4" applyNumberFormat="1" applyFont="1" applyFill="1" applyBorder="1" applyAlignment="1">
      <alignment horizontal="center" vertical="top" wrapText="1"/>
    </xf>
    <xf numFmtId="0" fontId="3" fillId="2" borderId="6" xfId="4" applyNumberFormat="1" applyFont="1" applyFill="1" applyBorder="1" applyAlignment="1">
      <alignment horizontal="center" vertical="top" wrapText="1"/>
    </xf>
    <xf numFmtId="0" fontId="3" fillId="2" borderId="5" xfId="4" applyNumberFormat="1" applyFont="1" applyFill="1" applyBorder="1" applyAlignment="1">
      <alignment horizontal="center" vertical="top" wrapText="1"/>
    </xf>
    <xf numFmtId="0" fontId="22" fillId="0" borderId="1" xfId="1" applyFont="1" applyBorder="1" applyAlignment="1">
      <alignment horizontal="left" vertical="top" wrapText="1"/>
    </xf>
    <xf numFmtId="0" fontId="10" fillId="15" borderId="4" xfId="1" applyFont="1" applyFill="1" applyBorder="1" applyAlignment="1">
      <alignment horizontal="left" vertical="top" wrapText="1"/>
    </xf>
    <xf numFmtId="0" fontId="10" fillId="15" borderId="6" xfId="1" applyFont="1" applyFill="1" applyBorder="1" applyAlignment="1">
      <alignment horizontal="left" vertical="top" wrapText="1"/>
    </xf>
    <xf numFmtId="0" fontId="10" fillId="15" borderId="5" xfId="1" applyFont="1" applyFill="1" applyBorder="1" applyAlignment="1">
      <alignment horizontal="left" vertical="top" wrapText="1"/>
    </xf>
    <xf numFmtId="0" fontId="25" fillId="8" borderId="5" xfId="1" applyFont="1" applyFill="1" applyBorder="1" applyAlignment="1">
      <alignment horizontal="left" vertical="center" wrapText="1"/>
    </xf>
    <xf numFmtId="0" fontId="22" fillId="2" borderId="4" xfId="0" applyFont="1" applyFill="1" applyBorder="1" applyAlignment="1">
      <alignment horizontal="justify" vertical="justify" wrapText="1"/>
    </xf>
    <xf numFmtId="0" fontId="22" fillId="2" borderId="6" xfId="0" applyFont="1" applyFill="1" applyBorder="1" applyAlignment="1">
      <alignment horizontal="justify" vertical="justify" wrapText="1"/>
    </xf>
    <xf numFmtId="0" fontId="22" fillId="2" borderId="5" xfId="0" applyFont="1" applyFill="1" applyBorder="1" applyAlignment="1">
      <alignment horizontal="justify" vertical="justify" wrapText="1"/>
    </xf>
    <xf numFmtId="0" fontId="51" fillId="2" borderId="4" xfId="0" applyFont="1" applyFill="1" applyBorder="1" applyAlignment="1">
      <alignment horizontal="justify" vertical="justify" wrapText="1"/>
    </xf>
    <xf numFmtId="0" fontId="51" fillId="2" borderId="6" xfId="0" applyFont="1" applyFill="1" applyBorder="1" applyAlignment="1">
      <alignment horizontal="justify" vertical="justify" wrapText="1"/>
    </xf>
    <xf numFmtId="0" fontId="51" fillId="2" borderId="5" xfId="0" applyFont="1" applyFill="1" applyBorder="1" applyAlignment="1">
      <alignment horizontal="justify" vertical="justify" wrapText="1"/>
    </xf>
    <xf numFmtId="0" fontId="22" fillId="0" borderId="4" xfId="1" applyFont="1" applyBorder="1" applyAlignment="1">
      <alignment horizontal="left" vertical="center" wrapText="1"/>
    </xf>
    <xf numFmtId="0" fontId="22" fillId="0" borderId="6" xfId="1" applyFont="1" applyBorder="1" applyAlignment="1">
      <alignment horizontal="left" vertical="center" wrapText="1"/>
    </xf>
    <xf numFmtId="0" fontId="22" fillId="0" borderId="5" xfId="1" applyFont="1" applyBorder="1" applyAlignment="1">
      <alignment horizontal="left" vertical="center" wrapText="1"/>
    </xf>
    <xf numFmtId="0" fontId="22" fillId="2" borderId="4"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0" borderId="1" xfId="1" applyFont="1" applyBorder="1" applyAlignment="1">
      <alignment horizontal="left" vertical="center" wrapText="1"/>
    </xf>
    <xf numFmtId="0" fontId="3" fillId="2" borderId="4" xfId="0"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5" xfId="0" applyFont="1" applyFill="1" applyBorder="1" applyAlignment="1">
      <alignment horizontal="justify" vertical="top" wrapText="1"/>
    </xf>
    <xf numFmtId="0" fontId="19" fillId="4" borderId="1" xfId="1" applyFont="1" applyFill="1" applyBorder="1" applyAlignment="1">
      <alignment horizontal="center" vertical="center" wrapText="1"/>
    </xf>
    <xf numFmtId="0" fontId="2" fillId="16" borderId="4" xfId="1" applyFont="1" applyFill="1" applyBorder="1" applyAlignment="1">
      <alignment horizontal="left" vertical="center" wrapText="1"/>
    </xf>
    <xf numFmtId="0" fontId="2" fillId="16" borderId="6" xfId="1" applyFont="1" applyFill="1" applyBorder="1" applyAlignment="1">
      <alignment horizontal="left" vertical="center" wrapText="1"/>
    </xf>
    <xf numFmtId="0" fontId="2" fillId="16" borderId="5" xfId="1" applyFont="1" applyFill="1" applyBorder="1" applyAlignment="1">
      <alignment horizontal="left" vertical="center" wrapText="1"/>
    </xf>
    <xf numFmtId="0" fontId="5" fillId="15" borderId="4" xfId="0" applyFont="1" applyFill="1" applyBorder="1" applyAlignment="1">
      <alignment horizontal="justify" vertical="justify" wrapText="1"/>
    </xf>
    <xf numFmtId="0" fontId="5" fillId="15" borderId="6" xfId="0" applyFont="1" applyFill="1" applyBorder="1" applyAlignment="1">
      <alignment horizontal="justify" vertical="justify" wrapText="1"/>
    </xf>
    <xf numFmtId="0" fontId="5" fillId="15" borderId="5" xfId="0" applyFont="1" applyFill="1" applyBorder="1" applyAlignment="1">
      <alignment horizontal="justify" vertical="justify" wrapText="1"/>
    </xf>
    <xf numFmtId="0" fontId="10" fillId="6" borderId="4"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10" fillId="6" borderId="5" xfId="1" applyFont="1" applyFill="1" applyBorder="1" applyAlignment="1">
      <alignment horizontal="center" vertical="center" wrapText="1"/>
    </xf>
    <xf numFmtId="4" fontId="29" fillId="2" borderId="4" xfId="1" applyNumberFormat="1" applyFont="1" applyFill="1" applyBorder="1" applyAlignment="1">
      <alignment horizontal="justify" vertical="top" wrapText="1"/>
    </xf>
    <xf numFmtId="4" fontId="29" fillId="2" borderId="5" xfId="1" applyNumberFormat="1" applyFont="1" applyFill="1" applyBorder="1" applyAlignment="1">
      <alignment horizontal="justify" vertical="top" wrapText="1"/>
    </xf>
    <xf numFmtId="4" fontId="40" fillId="2" borderId="5" xfId="1" applyNumberFormat="1" applyFont="1" applyFill="1" applyBorder="1" applyAlignment="1">
      <alignment horizontal="justify" vertical="top" wrapText="1"/>
    </xf>
    <xf numFmtId="0" fontId="10" fillId="14" borderId="4" xfId="0" applyFont="1" applyFill="1" applyBorder="1" applyAlignment="1">
      <alignment horizontal="left" vertical="top" wrapText="1"/>
    </xf>
    <xf numFmtId="0" fontId="10" fillId="14" borderId="5" xfId="0" applyFont="1" applyFill="1" applyBorder="1" applyAlignment="1">
      <alignment horizontal="left" vertical="top" wrapText="1"/>
    </xf>
    <xf numFmtId="4" fontId="47" fillId="2" borderId="5" xfId="1" applyNumberFormat="1" applyFont="1" applyFill="1" applyBorder="1" applyAlignment="1">
      <alignment horizontal="justify" vertical="top" wrapText="1"/>
    </xf>
    <xf numFmtId="4" fontId="56" fillId="2" borderId="4" xfId="1" applyNumberFormat="1" applyFont="1" applyFill="1" applyBorder="1" applyAlignment="1">
      <alignment horizontal="justify" vertical="top" wrapText="1"/>
    </xf>
    <xf numFmtId="4" fontId="54" fillId="2" borderId="5" xfId="1" applyNumberFormat="1" applyFont="1" applyFill="1" applyBorder="1" applyAlignment="1">
      <alignment horizontal="justify" vertical="top" wrapText="1"/>
    </xf>
    <xf numFmtId="4" fontId="24" fillId="2" borderId="4" xfId="1" applyNumberFormat="1" applyFont="1" applyFill="1" applyBorder="1" applyAlignment="1">
      <alignment horizontal="justify" vertical="top" wrapText="1"/>
    </xf>
    <xf numFmtId="4" fontId="24" fillId="2" borderId="5" xfId="1" applyNumberFormat="1" applyFont="1" applyFill="1" applyBorder="1" applyAlignment="1">
      <alignment horizontal="justify" vertical="top" wrapText="1"/>
    </xf>
    <xf numFmtId="0" fontId="5" fillId="6" borderId="4" xfId="0" applyFont="1" applyFill="1" applyBorder="1" applyAlignment="1">
      <alignment horizontal="left" vertical="top" wrapText="1"/>
    </xf>
    <xf numFmtId="0" fontId="10" fillId="6" borderId="6" xfId="0" applyFont="1" applyFill="1" applyBorder="1" applyAlignment="1">
      <alignment horizontal="left" vertical="top" wrapText="1"/>
    </xf>
    <xf numFmtId="0" fontId="10" fillId="6" borderId="5" xfId="0" applyFont="1" applyFill="1" applyBorder="1" applyAlignment="1">
      <alignment horizontal="left" vertical="top" wrapText="1"/>
    </xf>
    <xf numFmtId="0" fontId="10" fillId="14" borderId="6" xfId="0" applyFont="1" applyFill="1" applyBorder="1" applyAlignment="1">
      <alignment horizontal="left" vertical="top" wrapText="1"/>
    </xf>
    <xf numFmtId="0" fontId="10" fillId="2" borderId="4"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5" xfId="0" applyFont="1" applyFill="1" applyBorder="1" applyAlignment="1">
      <alignment horizontal="justify" vertical="top" wrapText="1"/>
    </xf>
    <xf numFmtId="0" fontId="5" fillId="14" borderId="4" xfId="0" applyFont="1" applyFill="1" applyBorder="1" applyAlignment="1">
      <alignment horizontal="justify" vertical="justify" wrapText="1"/>
    </xf>
    <xf numFmtId="0" fontId="5" fillId="14" borderId="6" xfId="0" applyFont="1" applyFill="1" applyBorder="1" applyAlignment="1">
      <alignment horizontal="justify" vertical="justify" wrapText="1"/>
    </xf>
    <xf numFmtId="0" fontId="5" fillId="14" borderId="5" xfId="0" applyFont="1" applyFill="1" applyBorder="1" applyAlignment="1">
      <alignment horizontal="justify" vertical="justify" wrapText="1"/>
    </xf>
    <xf numFmtId="0" fontId="10" fillId="14" borderId="1" xfId="0" applyFont="1" applyFill="1" applyBorder="1" applyAlignment="1">
      <alignment horizontal="left" vertical="top" wrapText="1"/>
    </xf>
    <xf numFmtId="0" fontId="13" fillId="2" borderId="11"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3" xfId="0" applyFont="1" applyFill="1" applyBorder="1" applyAlignment="1">
      <alignment horizontal="center" vertical="top" wrapText="1"/>
    </xf>
    <xf numFmtId="0" fontId="5" fillId="6" borderId="4" xfId="1" applyFont="1" applyFill="1" applyBorder="1" applyAlignment="1">
      <alignment horizontal="left" vertical="top" wrapText="1"/>
    </xf>
    <xf numFmtId="0" fontId="5" fillId="6" borderId="6" xfId="1" applyFont="1" applyFill="1" applyBorder="1" applyAlignment="1">
      <alignment horizontal="left" vertical="top" wrapText="1"/>
    </xf>
    <xf numFmtId="0" fontId="5" fillId="6" borderId="5" xfId="1" applyFont="1" applyFill="1" applyBorder="1" applyAlignment="1">
      <alignment horizontal="left" vertical="top" wrapText="1"/>
    </xf>
    <xf numFmtId="0" fontId="10" fillId="14" borderId="4" xfId="0" applyFont="1" applyFill="1" applyBorder="1" applyAlignment="1">
      <alignment horizontal="justify" vertical="justify" wrapText="1"/>
    </xf>
    <xf numFmtId="0" fontId="10" fillId="14" borderId="6" xfId="0" applyFont="1" applyFill="1" applyBorder="1" applyAlignment="1">
      <alignment horizontal="justify" vertical="justify" wrapText="1"/>
    </xf>
    <xf numFmtId="0" fontId="10" fillId="14" borderId="5" xfId="0" applyFont="1" applyFill="1" applyBorder="1" applyAlignment="1">
      <alignment horizontal="justify" vertical="justify" wrapText="1"/>
    </xf>
    <xf numFmtId="0" fontId="34" fillId="2" borderId="4" xfId="9" applyFont="1" applyFill="1" applyBorder="1" applyAlignment="1">
      <alignment horizontal="center"/>
    </xf>
    <xf numFmtId="0" fontId="34" fillId="2" borderId="6" xfId="9" applyFont="1" applyFill="1" applyBorder="1" applyAlignment="1">
      <alignment horizontal="center"/>
    </xf>
    <xf numFmtId="0" fontId="34" fillId="2" borderId="5" xfId="9" applyFont="1" applyFill="1" applyBorder="1" applyAlignment="1">
      <alignment horizontal="center"/>
    </xf>
    <xf numFmtId="0" fontId="10" fillId="6" borderId="1" xfId="1" applyFont="1" applyFill="1" applyBorder="1" applyAlignment="1">
      <alignment horizontal="left" vertical="top" wrapText="1"/>
    </xf>
    <xf numFmtId="3" fontId="17" fillId="2" borderId="4" xfId="1" applyNumberFormat="1" applyFont="1" applyFill="1" applyBorder="1" applyAlignment="1">
      <alignment horizontal="justify" vertical="top" wrapText="1"/>
    </xf>
    <xf numFmtId="3" fontId="17" fillId="2" borderId="5" xfId="1" applyNumberFormat="1" applyFont="1" applyFill="1" applyBorder="1" applyAlignment="1">
      <alignment horizontal="justify" vertical="top" wrapText="1"/>
    </xf>
    <xf numFmtId="0" fontId="10" fillId="6" borderId="4" xfId="1" applyFont="1" applyFill="1" applyBorder="1" applyAlignment="1">
      <alignment horizontal="left" vertical="top" wrapText="1"/>
    </xf>
    <xf numFmtId="0" fontId="10" fillId="6" borderId="6" xfId="1" applyFont="1" applyFill="1" applyBorder="1" applyAlignment="1">
      <alignment horizontal="left" vertical="top" wrapText="1"/>
    </xf>
    <xf numFmtId="0" fontId="10" fillId="6" borderId="5" xfId="1" applyFont="1" applyFill="1" applyBorder="1" applyAlignment="1">
      <alignment horizontal="left" vertical="top" wrapText="1"/>
    </xf>
    <xf numFmtId="0" fontId="10" fillId="6" borderId="1" xfId="1" applyFont="1" applyFill="1" applyBorder="1" applyAlignment="1">
      <alignment horizontal="center" vertical="top" wrapText="1"/>
    </xf>
    <xf numFmtId="4" fontId="25" fillId="8" borderId="4" xfId="1" applyNumberFormat="1" applyFont="1" applyFill="1" applyBorder="1" applyAlignment="1">
      <alignment horizontal="center" vertical="center" wrapText="1"/>
    </xf>
    <xf numFmtId="4" fontId="25" fillId="8" borderId="6" xfId="1" applyNumberFormat="1" applyFont="1" applyFill="1" applyBorder="1" applyAlignment="1">
      <alignment horizontal="center" vertical="center" wrapText="1"/>
    </xf>
    <xf numFmtId="4" fontId="25" fillId="8" borderId="5" xfId="1" applyNumberFormat="1" applyFont="1" applyFill="1" applyBorder="1" applyAlignment="1">
      <alignment horizontal="center" vertical="center" wrapText="1"/>
    </xf>
    <xf numFmtId="0" fontId="22" fillId="6" borderId="1" xfId="0" applyFont="1" applyFill="1" applyBorder="1" applyAlignment="1">
      <alignment horizontal="justify" vertical="top" wrapText="1"/>
    </xf>
    <xf numFmtId="0" fontId="10" fillId="6" borderId="1" xfId="1" applyFont="1" applyFill="1" applyBorder="1" applyAlignment="1">
      <alignment horizontal="left" vertical="center" wrapText="1"/>
    </xf>
    <xf numFmtId="0" fontId="10" fillId="14" borderId="1" xfId="0" applyFont="1" applyFill="1" applyBorder="1" applyAlignment="1">
      <alignment horizontal="justify" vertical="justify" wrapText="1"/>
    </xf>
    <xf numFmtId="0" fontId="10" fillId="6" borderId="1" xfId="0" applyFont="1" applyFill="1" applyBorder="1" applyAlignment="1">
      <alignment horizontal="left" vertical="top" wrapText="1"/>
    </xf>
    <xf numFmtId="0" fontId="4" fillId="0" borderId="0" xfId="1" applyFont="1" applyBorder="1" applyAlignment="1">
      <alignment horizontal="center"/>
    </xf>
    <xf numFmtId="0" fontId="43" fillId="14" borderId="4" xfId="0" applyNumberFormat="1" applyFont="1" applyFill="1" applyBorder="1" applyAlignment="1">
      <alignment horizontal="left" vertical="top" wrapText="1"/>
    </xf>
    <xf numFmtId="0" fontId="43" fillId="14" borderId="6" xfId="0" applyNumberFormat="1" applyFont="1" applyFill="1" applyBorder="1" applyAlignment="1">
      <alignment horizontal="left" vertical="top" wrapText="1"/>
    </xf>
    <xf numFmtId="0" fontId="43" fillId="14" borderId="5" xfId="0" applyNumberFormat="1" applyFont="1" applyFill="1" applyBorder="1" applyAlignment="1">
      <alignment horizontal="left" vertical="top" wrapText="1"/>
    </xf>
    <xf numFmtId="0" fontId="43" fillId="14" borderId="4" xfId="0" applyFont="1" applyFill="1" applyBorder="1" applyAlignment="1">
      <alignment horizontal="left" vertical="top" wrapText="1"/>
    </xf>
    <xf numFmtId="0" fontId="43" fillId="14" borderId="6" xfId="0" applyFont="1" applyFill="1" applyBorder="1" applyAlignment="1">
      <alignment horizontal="left" vertical="top" wrapText="1"/>
    </xf>
    <xf numFmtId="0" fontId="43" fillId="14" borderId="5" xfId="0" applyFont="1" applyFill="1" applyBorder="1" applyAlignment="1">
      <alignment horizontal="left" vertical="top" wrapText="1"/>
    </xf>
    <xf numFmtId="0" fontId="10" fillId="14" borderId="4" xfId="1" applyFont="1" applyFill="1" applyBorder="1" applyAlignment="1">
      <alignment horizontal="left" vertical="center" wrapText="1"/>
    </xf>
    <xf numFmtId="0" fontId="10" fillId="14" borderId="6" xfId="1" applyFont="1" applyFill="1" applyBorder="1" applyAlignment="1">
      <alignment horizontal="left" vertical="center" wrapText="1"/>
    </xf>
    <xf numFmtId="0" fontId="10" fillId="14" borderId="5" xfId="1" applyFont="1" applyFill="1" applyBorder="1" applyAlignment="1">
      <alignment horizontal="left" vertical="center" wrapText="1"/>
    </xf>
    <xf numFmtId="0" fontId="10" fillId="14" borderId="4" xfId="1" applyFont="1" applyFill="1" applyBorder="1" applyAlignment="1">
      <alignment horizontal="left" vertical="top" wrapText="1"/>
    </xf>
    <xf numFmtId="0" fontId="10" fillId="14" borderId="6" xfId="1" applyFont="1" applyFill="1" applyBorder="1" applyAlignment="1">
      <alignment horizontal="left" vertical="top" wrapText="1"/>
    </xf>
    <xf numFmtId="0" fontId="10" fillId="14" borderId="5" xfId="1" applyFont="1" applyFill="1" applyBorder="1" applyAlignment="1">
      <alignment horizontal="left" vertical="top"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35" fillId="2" borderId="1" xfId="0" applyFont="1" applyFill="1" applyBorder="1" applyAlignment="1">
      <alignment horizontal="justify" vertical="top" wrapText="1"/>
    </xf>
    <xf numFmtId="0" fontId="35" fillId="2" borderId="4" xfId="0" applyFont="1" applyFill="1" applyBorder="1" applyAlignment="1">
      <alignment horizontal="left" vertical="top" wrapText="1"/>
    </xf>
    <xf numFmtId="0" fontId="35" fillId="2" borderId="6" xfId="0" applyFont="1" applyFill="1" applyBorder="1" applyAlignment="1">
      <alignment horizontal="left" vertical="top" wrapText="1"/>
    </xf>
    <xf numFmtId="0" fontId="35" fillId="2" borderId="5" xfId="0" applyFont="1" applyFill="1" applyBorder="1" applyAlignment="1">
      <alignment horizontal="left" vertical="top" wrapText="1"/>
    </xf>
    <xf numFmtId="0" fontId="6" fillId="3" borderId="4"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22" fillId="14" borderId="4" xfId="0" applyNumberFormat="1" applyFont="1" applyFill="1" applyBorder="1" applyAlignment="1">
      <alignment horizontal="justify" vertical="justify" wrapText="1"/>
    </xf>
    <xf numFmtId="0" fontId="22" fillId="14" borderId="6" xfId="0" applyNumberFormat="1" applyFont="1" applyFill="1" applyBorder="1" applyAlignment="1">
      <alignment horizontal="justify" vertical="justify" wrapText="1"/>
    </xf>
    <xf numFmtId="0" fontId="22" fillId="14" borderId="5" xfId="0" applyNumberFormat="1" applyFont="1" applyFill="1" applyBorder="1" applyAlignment="1">
      <alignment horizontal="justify" vertical="justify" wrapText="1"/>
    </xf>
    <xf numFmtId="0" fontId="25" fillId="8" borderId="10" xfId="1" applyFont="1" applyFill="1" applyBorder="1" applyAlignment="1">
      <alignment horizontal="left" vertical="center" wrapText="1"/>
    </xf>
    <xf numFmtId="0" fontId="25" fillId="8" borderId="3" xfId="1" applyFont="1" applyFill="1" applyBorder="1" applyAlignment="1">
      <alignment horizontal="left" vertical="center" wrapText="1"/>
    </xf>
    <xf numFmtId="0" fontId="34" fillId="2" borderId="4" xfId="1" applyFont="1" applyFill="1" applyBorder="1" applyAlignment="1">
      <alignment horizontal="center"/>
    </xf>
    <xf numFmtId="0" fontId="34" fillId="2" borderId="6" xfId="1" applyFont="1" applyFill="1" applyBorder="1" applyAlignment="1">
      <alignment horizontal="center"/>
    </xf>
    <xf numFmtId="0" fontId="34" fillId="2" borderId="5" xfId="1" applyFont="1" applyFill="1" applyBorder="1" applyAlignment="1">
      <alignment horizontal="center"/>
    </xf>
    <xf numFmtId="4" fontId="13" fillId="2" borderId="1" xfId="0" applyNumberFormat="1" applyFont="1" applyFill="1" applyBorder="1" applyAlignment="1">
      <alignment horizontal="center" vertical="top" wrapText="1"/>
    </xf>
    <xf numFmtId="4" fontId="24" fillId="2" borderId="1" xfId="1" applyNumberFormat="1" applyFont="1" applyFill="1" applyBorder="1" applyAlignment="1">
      <alignment horizontal="justify" vertical="top" wrapText="1"/>
    </xf>
    <xf numFmtId="0" fontId="10" fillId="2" borderId="1" xfId="0" applyFont="1" applyFill="1" applyBorder="1" applyAlignment="1">
      <alignment horizontal="justify" vertical="justify" wrapText="1"/>
    </xf>
    <xf numFmtId="0" fontId="22" fillId="14" borderId="1" xfId="0" applyFont="1" applyFill="1" applyBorder="1" applyAlignment="1">
      <alignment horizontal="left" vertical="top" wrapText="1"/>
    </xf>
    <xf numFmtId="0" fontId="16" fillId="2" borderId="4" xfId="0" applyFont="1" applyFill="1" applyBorder="1" applyAlignment="1">
      <alignment horizontal="justify" vertical="top" wrapText="1"/>
    </xf>
    <xf numFmtId="0" fontId="16" fillId="2" borderId="5" xfId="0" applyFont="1" applyFill="1" applyBorder="1" applyAlignment="1">
      <alignment horizontal="justify" vertical="top" wrapText="1"/>
    </xf>
    <xf numFmtId="0" fontId="25" fillId="8" borderId="6" xfId="1" applyFont="1" applyFill="1" applyBorder="1" applyAlignment="1">
      <alignment horizontal="center" vertical="center"/>
    </xf>
    <xf numFmtId="0" fontId="25" fillId="8" borderId="5" xfId="1" applyFont="1" applyFill="1" applyBorder="1" applyAlignment="1">
      <alignment horizontal="center" vertical="center"/>
    </xf>
    <xf numFmtId="3" fontId="29" fillId="2" borderId="1" xfId="1" applyNumberFormat="1" applyFont="1" applyFill="1" applyBorder="1" applyAlignment="1">
      <alignment horizontal="justify" vertical="top" wrapText="1"/>
    </xf>
  </cellXfs>
  <cellStyles count="13">
    <cellStyle name="Estilo 1" xfId="11"/>
    <cellStyle name="Millares" xfId="10" builtinId="3"/>
    <cellStyle name="Millares 2" xfId="6"/>
    <cellStyle name="Millares 2 2" xfId="8"/>
    <cellStyle name="Normal" xfId="0" builtinId="0"/>
    <cellStyle name="Normal 2" xfId="3"/>
    <cellStyle name="Normal 2 2 2" xfId="4"/>
    <cellStyle name="Normal 3" xfId="5"/>
    <cellStyle name="Normal 3 3" xfId="2"/>
    <cellStyle name="Normal 4" xfId="1"/>
    <cellStyle name="Normal_Xl0000062" xfId="9"/>
    <cellStyle name="Porcentaje" xfId="12" builtinId="5"/>
    <cellStyle name="Porcentaje 2" xfId="7"/>
  </cellStyles>
  <dxfs count="0"/>
  <tableStyles count="0" defaultTableStyle="TableStyleMedium9" defaultPivotStyle="PivotStyleLight16"/>
  <colors>
    <mruColors>
      <color rgb="FFA1E4F1"/>
      <color rgb="FF1B98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1</xdr:rowOff>
    </xdr:from>
    <xdr:to>
      <xdr:col>5</xdr:col>
      <xdr:colOff>557413</xdr:colOff>
      <xdr:row>1</xdr:row>
      <xdr:rowOff>8429</xdr:rowOff>
    </xdr:to>
    <xdr:pic>
      <xdr:nvPicPr>
        <xdr:cNvPr id="5" name="Imagen 4"/>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1"/>
          <a:ext cx="2217965" cy="53103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A371"/>
  <sheetViews>
    <sheetView showGridLines="0" showZeros="0" tabSelected="1" topLeftCell="B6" zoomScaleNormal="100" zoomScaleSheetLayoutView="115" zoomScalePageLayoutView="70" workbookViewId="0">
      <selection activeCell="H17" sqref="H17"/>
    </sheetView>
  </sheetViews>
  <sheetFormatPr baseColWidth="10" defaultColWidth="11.42578125" defaultRowHeight="12.75" outlineLevelRow="2" outlineLevelCol="3" x14ac:dyDescent="0.2"/>
  <cols>
    <col min="1" max="1" width="8.42578125" style="202" hidden="1" customWidth="1"/>
    <col min="2" max="2" width="4.140625" style="202" customWidth="1"/>
    <col min="3" max="3" width="12.28515625" style="202" customWidth="1"/>
    <col min="4" max="4" width="2.85546875" style="202" customWidth="1"/>
    <col min="5" max="5" width="7.5703125" style="202" customWidth="1"/>
    <col min="6" max="7" width="22.7109375" style="202" customWidth="1"/>
    <col min="8" max="8" width="13.5703125" style="202" customWidth="1"/>
    <col min="9" max="9" width="9" style="202" customWidth="1"/>
    <col min="10" max="20" width="5.7109375" style="202" hidden="1" customWidth="1"/>
    <col min="21" max="21" width="2.140625" style="202" hidden="1" customWidth="1"/>
    <col min="22" max="22" width="1.42578125" style="202" hidden="1" customWidth="1"/>
    <col min="23" max="23" width="3.42578125" style="202" hidden="1" customWidth="1"/>
    <col min="24" max="24" width="3.5703125" style="202" hidden="1" customWidth="1"/>
    <col min="25" max="25" width="2.85546875" style="202" hidden="1" customWidth="1"/>
    <col min="26" max="26" width="4" style="202" hidden="1" customWidth="1"/>
    <col min="27" max="27" width="3.42578125" style="202" hidden="1" customWidth="1"/>
    <col min="28" max="28" width="4.28515625" style="202" hidden="1" customWidth="1"/>
    <col min="29" max="29" width="3.5703125" style="202" hidden="1" customWidth="1"/>
    <col min="30" max="30" width="4.7109375" style="202" hidden="1" customWidth="1"/>
    <col min="31" max="31" width="6.85546875" style="202" hidden="1" customWidth="1"/>
    <col min="32" max="32" width="7.28515625" style="202" hidden="1" customWidth="1"/>
    <col min="33" max="33" width="5.5703125" style="202" hidden="1" customWidth="1"/>
    <col min="34" max="34" width="2.85546875" style="202" hidden="1" customWidth="1"/>
    <col min="35" max="35" width="6.7109375" style="202" hidden="1" customWidth="1"/>
    <col min="36" max="36" width="6.140625" style="202" hidden="1" customWidth="1"/>
    <col min="37" max="37" width="7" style="202" hidden="1" customWidth="1"/>
    <col min="38" max="38" width="3.140625" style="202" hidden="1" customWidth="1"/>
    <col min="39" max="39" width="3.5703125" style="202" hidden="1" customWidth="1"/>
    <col min="40" max="40" width="1.7109375" style="202" hidden="1" customWidth="1"/>
    <col min="41" max="41" width="2.5703125" style="202" hidden="1" customWidth="1"/>
    <col min="42" max="42" width="3" style="202" hidden="1" customWidth="1"/>
    <col min="43" max="43" width="2.28515625" style="202" hidden="1" customWidth="1"/>
    <col min="44" max="46" width="4.7109375" style="202" hidden="1" customWidth="1"/>
    <col min="47" max="47" width="8.42578125" style="202" customWidth="1"/>
    <col min="48" max="48" width="5.28515625" style="202" hidden="1" customWidth="1" outlineLevel="2"/>
    <col min="49" max="49" width="4.42578125" style="202" hidden="1" customWidth="1" outlineLevel="2"/>
    <col min="50" max="50" width="4.5703125" style="202" hidden="1" customWidth="1" outlineLevel="2"/>
    <col min="51" max="51" width="5.7109375" style="202" hidden="1" customWidth="1" outlineLevel="2"/>
    <col min="52" max="52" width="15" style="202" customWidth="1" outlineLevel="1" collapsed="1"/>
    <col min="53" max="53" width="9.5703125" style="202" hidden="1" customWidth="1" outlineLevel="3"/>
    <col min="54" max="54" width="7.28515625" style="202" hidden="1" customWidth="1" outlineLevel="3"/>
    <col min="55" max="56" width="5.28515625" style="202" hidden="1" customWidth="1" outlineLevel="3"/>
    <col min="57" max="57" width="14.42578125" style="202" customWidth="1" outlineLevel="2" collapsed="1"/>
    <col min="58" max="58" width="7.28515625" style="202" customWidth="1" outlineLevel="3"/>
    <col min="59" max="59" width="7.140625" style="202" customWidth="1" outlineLevel="3"/>
    <col min="60" max="60" width="6.5703125" style="202" customWidth="1" outlineLevel="3"/>
    <col min="61" max="61" width="6.28515625" style="202" customWidth="1" outlineLevel="3"/>
    <col min="62" max="62" width="14.140625" style="202" customWidth="1" outlineLevel="2"/>
    <col min="63" max="63" width="12.85546875" style="202" customWidth="1" outlineLevel="1"/>
    <col min="64" max="64" width="14.28515625" style="202" customWidth="1" outlineLevel="1"/>
    <col min="65" max="65" width="15.85546875" style="202" customWidth="1"/>
    <col min="66" max="66" width="17.42578125" style="202" customWidth="1"/>
    <col min="67" max="67" width="0.140625" style="202" customWidth="1"/>
    <col min="68" max="69" width="13.5703125" style="202" bestFit="1" customWidth="1"/>
    <col min="70" max="16384" width="11.42578125" style="202"/>
  </cols>
  <sheetData>
    <row r="1" spans="1:131" ht="41.25" customHeight="1" x14ac:dyDescent="0.2">
      <c r="B1" s="480" t="s">
        <v>233</v>
      </c>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c r="BD1" s="481"/>
      <c r="BE1" s="481"/>
      <c r="BF1" s="481"/>
      <c r="BG1" s="481"/>
      <c r="BH1" s="481"/>
      <c r="BI1" s="481"/>
      <c r="BJ1" s="481"/>
      <c r="BK1" s="481"/>
      <c r="BL1" s="481"/>
      <c r="BM1" s="481"/>
      <c r="BN1" s="482"/>
    </row>
    <row r="2" spans="1:131" s="183" customFormat="1" ht="15.75" customHeight="1" x14ac:dyDescent="0.2">
      <c r="A2" s="181"/>
      <c r="B2" s="507" t="s">
        <v>227</v>
      </c>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7"/>
      <c r="AO2" s="507"/>
      <c r="AP2" s="507"/>
      <c r="AQ2" s="507"/>
      <c r="AR2" s="507"/>
      <c r="AS2" s="507"/>
      <c r="AT2" s="507"/>
      <c r="AU2" s="507"/>
      <c r="AV2" s="507"/>
      <c r="AW2" s="507"/>
      <c r="AX2" s="507"/>
      <c r="AY2" s="507"/>
      <c r="AZ2" s="507"/>
      <c r="BA2" s="507"/>
      <c r="BB2" s="507"/>
      <c r="BC2" s="507"/>
      <c r="BD2" s="507"/>
      <c r="BE2" s="507"/>
      <c r="BF2" s="507"/>
      <c r="BG2" s="507"/>
      <c r="BH2" s="507"/>
      <c r="BI2" s="507"/>
      <c r="BJ2" s="507"/>
      <c r="BK2" s="507"/>
      <c r="BL2" s="507"/>
      <c r="BM2" s="507"/>
      <c r="BN2" s="507"/>
      <c r="BO2" s="182"/>
    </row>
    <row r="3" spans="1:131" s="181" customFormat="1" ht="21.75" customHeight="1" x14ac:dyDescent="0.2">
      <c r="B3" s="503" t="s">
        <v>140</v>
      </c>
      <c r="C3" s="503"/>
      <c r="D3" s="503"/>
      <c r="E3" s="438" t="s">
        <v>0</v>
      </c>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c r="BC3" s="438"/>
      <c r="BD3" s="438"/>
      <c r="BE3" s="438"/>
      <c r="BF3" s="438"/>
      <c r="BG3" s="438"/>
      <c r="BH3" s="438"/>
      <c r="BI3" s="438"/>
      <c r="BJ3" s="438"/>
      <c r="BK3" s="438"/>
      <c r="BL3" s="438"/>
      <c r="BM3" s="438"/>
      <c r="BN3" s="438"/>
    </row>
    <row r="4" spans="1:131" s="181" customFormat="1" ht="30.75" customHeight="1" x14ac:dyDescent="0.2">
      <c r="B4" s="486" t="s">
        <v>141</v>
      </c>
      <c r="C4" s="486"/>
      <c r="D4" s="486"/>
      <c r="E4" s="439" t="s">
        <v>1</v>
      </c>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row>
    <row r="5" spans="1:131" s="181" customFormat="1" ht="30.75" customHeight="1" x14ac:dyDescent="0.2">
      <c r="B5" s="486" t="s">
        <v>142</v>
      </c>
      <c r="C5" s="486"/>
      <c r="D5" s="486"/>
      <c r="E5" s="491" t="s">
        <v>89</v>
      </c>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3"/>
    </row>
    <row r="6" spans="1:131" s="181" customFormat="1" ht="179.25" customHeight="1" x14ac:dyDescent="0.2">
      <c r="B6" s="497" t="s">
        <v>2</v>
      </c>
      <c r="C6" s="498"/>
      <c r="D6" s="499"/>
      <c r="E6" s="494" t="s">
        <v>552</v>
      </c>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5"/>
      <c r="AI6" s="495"/>
      <c r="AJ6" s="495"/>
      <c r="AK6" s="495"/>
      <c r="AL6" s="495"/>
      <c r="AM6" s="495"/>
      <c r="AN6" s="495"/>
      <c r="AO6" s="495"/>
      <c r="AP6" s="495"/>
      <c r="AQ6" s="495"/>
      <c r="AR6" s="495"/>
      <c r="AS6" s="495"/>
      <c r="AT6" s="495"/>
      <c r="AU6" s="495"/>
      <c r="AV6" s="495"/>
      <c r="AW6" s="495"/>
      <c r="AX6" s="495"/>
      <c r="AY6" s="495"/>
      <c r="AZ6" s="495"/>
      <c r="BA6" s="495"/>
      <c r="BB6" s="495"/>
      <c r="BC6" s="495"/>
      <c r="BD6" s="495"/>
      <c r="BE6" s="495"/>
      <c r="BF6" s="495"/>
      <c r="BG6" s="495"/>
      <c r="BH6" s="495"/>
      <c r="BI6" s="495"/>
      <c r="BJ6" s="495"/>
      <c r="BK6" s="495"/>
      <c r="BL6" s="495"/>
      <c r="BM6" s="495"/>
      <c r="BN6" s="496"/>
    </row>
    <row r="7" spans="1:131" ht="27" customHeight="1" x14ac:dyDescent="0.2">
      <c r="B7" s="503" t="s">
        <v>90</v>
      </c>
      <c r="C7" s="503"/>
      <c r="D7" s="503"/>
      <c r="E7" s="500" t="s">
        <v>91</v>
      </c>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c r="AE7" s="501"/>
      <c r="AF7" s="501"/>
      <c r="AG7" s="501"/>
      <c r="AH7" s="501"/>
      <c r="AI7" s="501"/>
      <c r="AJ7" s="501"/>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2"/>
    </row>
    <row r="8" spans="1:131" s="220" customFormat="1" ht="16.5" customHeight="1" x14ac:dyDescent="0.2">
      <c r="B8" s="508" t="s">
        <v>367</v>
      </c>
      <c r="C8" s="509"/>
      <c r="D8" s="509"/>
      <c r="E8" s="509"/>
      <c r="F8" s="509"/>
      <c r="G8" s="509"/>
      <c r="H8" s="509"/>
      <c r="I8" s="509"/>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c r="BB8" s="509"/>
      <c r="BC8" s="509"/>
      <c r="BD8" s="509"/>
      <c r="BE8" s="509"/>
      <c r="BF8" s="509"/>
      <c r="BG8" s="509"/>
      <c r="BH8" s="509"/>
      <c r="BI8" s="509"/>
      <c r="BJ8" s="509"/>
      <c r="BK8" s="509"/>
      <c r="BL8" s="509"/>
      <c r="BM8" s="509"/>
      <c r="BN8" s="510"/>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1"/>
      <c r="CO8" s="181"/>
      <c r="CP8" s="181"/>
      <c r="CQ8" s="181"/>
      <c r="CR8" s="181"/>
      <c r="CS8" s="181"/>
      <c r="CT8" s="181"/>
      <c r="CU8" s="181"/>
      <c r="CV8" s="181"/>
      <c r="CW8" s="181"/>
      <c r="CX8" s="181"/>
      <c r="CY8" s="181"/>
      <c r="CZ8" s="181"/>
      <c r="DA8" s="181"/>
      <c r="DB8" s="181"/>
      <c r="DC8" s="181"/>
      <c r="DD8" s="181"/>
      <c r="DE8" s="181"/>
      <c r="DF8" s="181"/>
      <c r="DG8" s="181"/>
      <c r="DH8" s="181"/>
      <c r="DI8" s="181"/>
      <c r="DJ8" s="181"/>
      <c r="DK8" s="181"/>
      <c r="DL8" s="181"/>
      <c r="DM8" s="181"/>
      <c r="DN8" s="181"/>
      <c r="DO8" s="181"/>
      <c r="DP8" s="181"/>
      <c r="DQ8" s="181"/>
      <c r="DR8" s="181"/>
      <c r="DS8" s="181"/>
      <c r="DT8" s="181"/>
      <c r="DU8" s="181"/>
      <c r="DV8" s="181"/>
      <c r="DW8" s="181"/>
      <c r="DX8" s="181"/>
      <c r="DY8" s="181"/>
      <c r="DZ8" s="181"/>
      <c r="EA8" s="181"/>
    </row>
    <row r="9" spans="1:131" s="221" customFormat="1" ht="17.25" customHeight="1" x14ac:dyDescent="0.2">
      <c r="B9" s="487" t="s">
        <v>93</v>
      </c>
      <c r="C9" s="488"/>
      <c r="D9" s="489"/>
      <c r="E9" s="477" t="s">
        <v>92</v>
      </c>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8"/>
      <c r="BD9" s="478"/>
      <c r="BE9" s="478"/>
      <c r="BF9" s="478"/>
      <c r="BG9" s="478"/>
      <c r="BH9" s="478"/>
      <c r="BI9" s="478"/>
      <c r="BJ9" s="478"/>
      <c r="BK9" s="478"/>
      <c r="BL9" s="478"/>
      <c r="BM9" s="478"/>
      <c r="BN9" s="479"/>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row>
    <row r="10" spans="1:131" ht="21" customHeight="1" x14ac:dyDescent="0.2">
      <c r="B10" s="88"/>
      <c r="C10" s="413" t="s">
        <v>235</v>
      </c>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4"/>
      <c r="AT10" s="414"/>
      <c r="AU10" s="414"/>
      <c r="AV10" s="414"/>
      <c r="AW10" s="414"/>
      <c r="AX10" s="414"/>
      <c r="AY10" s="414"/>
      <c r="AZ10" s="414"/>
      <c r="BA10" s="414"/>
      <c r="BB10" s="414"/>
      <c r="BC10" s="414"/>
      <c r="BD10" s="414"/>
      <c r="BE10" s="414"/>
      <c r="BF10" s="414"/>
      <c r="BG10" s="414"/>
      <c r="BH10" s="414"/>
      <c r="BI10" s="414"/>
      <c r="BJ10" s="414"/>
      <c r="BK10" s="414"/>
      <c r="BL10" s="414"/>
      <c r="BM10" s="414"/>
      <c r="BN10" s="415"/>
      <c r="BP10" s="181"/>
      <c r="BQ10" s="181"/>
      <c r="BR10" s="181"/>
      <c r="BS10" s="181"/>
      <c r="BT10" s="181"/>
      <c r="BU10" s="181"/>
      <c r="BV10" s="181"/>
      <c r="BW10" s="181"/>
      <c r="BX10" s="181"/>
      <c r="BY10" s="181"/>
      <c r="BZ10" s="181"/>
      <c r="CA10" s="181"/>
      <c r="CB10" s="181"/>
      <c r="CC10" s="181"/>
      <c r="CD10" s="181"/>
      <c r="CE10" s="181"/>
      <c r="CF10" s="181"/>
      <c r="CG10" s="181"/>
      <c r="CH10" s="181"/>
      <c r="CI10" s="181"/>
      <c r="CJ10" s="181"/>
      <c r="CK10" s="181"/>
      <c r="CL10" s="181"/>
      <c r="CM10" s="181"/>
      <c r="CN10" s="181"/>
      <c r="CO10" s="181"/>
      <c r="CP10" s="181"/>
      <c r="CQ10" s="181"/>
      <c r="CR10" s="181"/>
      <c r="CS10" s="181"/>
      <c r="CT10" s="181"/>
      <c r="CU10" s="181"/>
      <c r="CV10" s="181"/>
      <c r="CW10" s="181"/>
      <c r="CX10" s="181"/>
      <c r="CY10" s="181"/>
      <c r="CZ10" s="181"/>
      <c r="DA10" s="181"/>
      <c r="DB10" s="181"/>
      <c r="DC10" s="181"/>
      <c r="DD10" s="181"/>
      <c r="DE10" s="181"/>
      <c r="DF10" s="181"/>
      <c r="DG10" s="181"/>
      <c r="DH10" s="181"/>
      <c r="DI10" s="181"/>
      <c r="DJ10" s="181"/>
      <c r="DK10" s="181"/>
      <c r="DL10" s="181"/>
      <c r="DM10" s="181"/>
      <c r="DN10" s="181"/>
      <c r="DO10" s="181"/>
      <c r="DP10" s="181"/>
      <c r="DQ10" s="181"/>
      <c r="DR10" s="181"/>
      <c r="DS10" s="181"/>
      <c r="DT10" s="181"/>
      <c r="DU10" s="181"/>
      <c r="DV10" s="181"/>
      <c r="DW10" s="181"/>
      <c r="DX10" s="181"/>
      <c r="DY10" s="181"/>
      <c r="DZ10" s="181"/>
      <c r="EA10" s="181"/>
    </row>
    <row r="11" spans="1:131" ht="54.75" customHeight="1" x14ac:dyDescent="0.2">
      <c r="B11" s="184" t="s">
        <v>139</v>
      </c>
      <c r="C11" s="447" t="s">
        <v>94</v>
      </c>
      <c r="D11" s="448"/>
      <c r="E11" s="449"/>
      <c r="F11" s="211" t="s">
        <v>95</v>
      </c>
      <c r="G11" s="210" t="s">
        <v>4</v>
      </c>
      <c r="H11" s="209" t="s">
        <v>3</v>
      </c>
      <c r="I11" s="208" t="s">
        <v>96</v>
      </c>
      <c r="J11" s="207" t="s">
        <v>494</v>
      </c>
      <c r="K11" s="207" t="s">
        <v>495</v>
      </c>
      <c r="L11" s="207" t="s">
        <v>380</v>
      </c>
      <c r="M11" s="207" t="s">
        <v>381</v>
      </c>
      <c r="N11" s="207" t="s">
        <v>517</v>
      </c>
      <c r="O11" s="207" t="s">
        <v>518</v>
      </c>
      <c r="P11" s="207" t="s">
        <v>490</v>
      </c>
      <c r="Q11" s="208" t="s">
        <v>491</v>
      </c>
      <c r="R11" s="208" t="s">
        <v>492</v>
      </c>
      <c r="S11" s="208" t="s">
        <v>493</v>
      </c>
      <c r="T11" s="208" t="s">
        <v>519</v>
      </c>
      <c r="U11" s="208" t="s">
        <v>526</v>
      </c>
      <c r="V11" s="208" t="s">
        <v>525</v>
      </c>
      <c r="W11" s="208" t="s">
        <v>571</v>
      </c>
      <c r="X11" s="208" t="s">
        <v>538</v>
      </c>
      <c r="Y11" s="208" t="s">
        <v>553</v>
      </c>
      <c r="Z11" s="208" t="s">
        <v>554</v>
      </c>
      <c r="AA11" s="307" t="s">
        <v>581</v>
      </c>
      <c r="AB11" s="208" t="s">
        <v>570</v>
      </c>
      <c r="AC11" s="307" t="s">
        <v>564</v>
      </c>
      <c r="AD11" s="307" t="s">
        <v>582</v>
      </c>
      <c r="AE11" s="309" t="s">
        <v>578</v>
      </c>
      <c r="AF11" s="307" t="s">
        <v>635</v>
      </c>
      <c r="AG11" s="307" t="s">
        <v>590</v>
      </c>
      <c r="AH11" s="307" t="s">
        <v>606</v>
      </c>
      <c r="AI11" s="307" t="s">
        <v>636</v>
      </c>
      <c r="AJ11" s="307" t="s">
        <v>623</v>
      </c>
      <c r="AK11" s="307" t="s">
        <v>628</v>
      </c>
      <c r="AL11" s="307" t="s">
        <v>637</v>
      </c>
      <c r="AM11" s="307" t="s">
        <v>641</v>
      </c>
      <c r="AN11" s="307" t="s">
        <v>643</v>
      </c>
      <c r="AO11" s="307" t="s">
        <v>646</v>
      </c>
      <c r="AP11" s="307" t="s">
        <v>650</v>
      </c>
      <c r="AQ11" s="307" t="s">
        <v>689</v>
      </c>
      <c r="AR11" s="307" t="s">
        <v>697</v>
      </c>
      <c r="AS11" s="307" t="s">
        <v>725</v>
      </c>
      <c r="AT11" s="307" t="s">
        <v>729</v>
      </c>
      <c r="AU11" s="208" t="s">
        <v>150</v>
      </c>
      <c r="AV11" s="212" t="s">
        <v>5</v>
      </c>
      <c r="AW11" s="212" t="s">
        <v>6</v>
      </c>
      <c r="AX11" s="212" t="s">
        <v>7</v>
      </c>
      <c r="AY11" s="212" t="s">
        <v>8</v>
      </c>
      <c r="AZ11" s="190" t="s">
        <v>583</v>
      </c>
      <c r="BA11" s="190" t="s">
        <v>9</v>
      </c>
      <c r="BB11" s="190" t="s">
        <v>10</v>
      </c>
      <c r="BC11" s="190" t="s">
        <v>11</v>
      </c>
      <c r="BD11" s="190" t="s">
        <v>12</v>
      </c>
      <c r="BE11" s="190" t="s">
        <v>516</v>
      </c>
      <c r="BF11" s="190" t="s">
        <v>13</v>
      </c>
      <c r="BG11" s="190" t="s">
        <v>14</v>
      </c>
      <c r="BH11" s="190" t="s">
        <v>15</v>
      </c>
      <c r="BI11" s="190" t="s">
        <v>16</v>
      </c>
      <c r="BJ11" s="190" t="s">
        <v>579</v>
      </c>
      <c r="BK11" s="190" t="s">
        <v>97</v>
      </c>
      <c r="BL11" s="190" t="s">
        <v>98</v>
      </c>
      <c r="BM11" s="190" t="s">
        <v>236</v>
      </c>
      <c r="BN11" s="190" t="s">
        <v>99</v>
      </c>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1"/>
      <c r="CM11" s="181"/>
      <c r="CN11" s="181"/>
      <c r="CO11" s="181"/>
      <c r="CP11" s="181"/>
      <c r="CQ11" s="181"/>
      <c r="CR11" s="181"/>
      <c r="CS11" s="181"/>
      <c r="CT11" s="181"/>
      <c r="CU11" s="181"/>
      <c r="CV11" s="181"/>
      <c r="CW11" s="181"/>
      <c r="CX11" s="181"/>
      <c r="CY11" s="181"/>
      <c r="CZ11" s="181"/>
      <c r="DA11" s="181"/>
      <c r="DB11" s="181"/>
      <c r="DC11" s="181"/>
      <c r="DD11" s="181"/>
      <c r="DE11" s="181"/>
      <c r="DF11" s="181"/>
      <c r="DG11" s="181"/>
      <c r="DH11" s="181"/>
      <c r="DI11" s="181"/>
      <c r="DJ11" s="181"/>
      <c r="DK11" s="181"/>
      <c r="DL11" s="181"/>
      <c r="DM11" s="181"/>
      <c r="DN11" s="181"/>
      <c r="DO11" s="181"/>
      <c r="DP11" s="181"/>
      <c r="DQ11" s="181"/>
      <c r="DR11" s="181"/>
      <c r="DS11" s="181"/>
      <c r="DT11" s="181"/>
      <c r="DU11" s="181"/>
      <c r="DV11" s="181"/>
      <c r="DW11" s="181"/>
      <c r="DX11" s="181"/>
      <c r="DY11" s="181"/>
      <c r="DZ11" s="181"/>
      <c r="EA11" s="181"/>
    </row>
    <row r="12" spans="1:131" s="222" customFormat="1" ht="26.25" customHeight="1" x14ac:dyDescent="0.2">
      <c r="B12" s="400" t="s">
        <v>17</v>
      </c>
      <c r="C12" s="400"/>
      <c r="D12" s="400"/>
      <c r="E12" s="400"/>
      <c r="F12" s="400"/>
      <c r="G12" s="400"/>
      <c r="H12" s="400"/>
      <c r="I12" s="54">
        <f>+I13+I15+I17+I19+I21</f>
        <v>13273</v>
      </c>
      <c r="J12" s="54"/>
      <c r="K12" s="54"/>
      <c r="L12" s="54"/>
      <c r="M12" s="54"/>
      <c r="N12" s="54"/>
      <c r="O12" s="54"/>
      <c r="P12" s="54"/>
      <c r="Q12" s="54"/>
      <c r="R12" s="54"/>
      <c r="S12" s="54"/>
      <c r="T12" s="54"/>
      <c r="U12" s="54"/>
      <c r="V12" s="54"/>
      <c r="W12" s="310"/>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v>14935</v>
      </c>
      <c r="AV12" s="54">
        <f t="shared" ref="AV12:BD12" si="0">+AV13+AV15+AV17+AV19+AV21</f>
        <v>641</v>
      </c>
      <c r="AW12" s="54">
        <f t="shared" si="0"/>
        <v>727</v>
      </c>
      <c r="AX12" s="54">
        <f t="shared" si="0"/>
        <v>1164</v>
      </c>
      <c r="AY12" s="54">
        <f t="shared" si="0"/>
        <v>1450</v>
      </c>
      <c r="AZ12" s="54">
        <f t="shared" si="0"/>
        <v>3982</v>
      </c>
      <c r="BA12" s="54">
        <f t="shared" si="0"/>
        <v>1332</v>
      </c>
      <c r="BB12" s="54">
        <f t="shared" si="0"/>
        <v>1098</v>
      </c>
      <c r="BC12" s="54">
        <f t="shared" si="0"/>
        <v>1469</v>
      </c>
      <c r="BD12" s="54">
        <f t="shared" si="0"/>
        <v>1675</v>
      </c>
      <c r="BE12" s="54">
        <f>+BE13+BE15+BE17+BE19+BE21</f>
        <v>5574</v>
      </c>
      <c r="BF12" s="54">
        <f>+BF13+BF15+BF17+BF19+BF21</f>
        <v>1532</v>
      </c>
      <c r="BG12" s="54">
        <f>+BG13+BG15+BG17+BG19+BG21</f>
        <v>1907</v>
      </c>
      <c r="BH12" s="54"/>
      <c r="BI12" s="54"/>
      <c r="BJ12" s="54">
        <f>SUM(BF12:BI12)</f>
        <v>3439</v>
      </c>
      <c r="BK12" s="54">
        <f>SUM(AZ12+BE12+BJ12)</f>
        <v>12995</v>
      </c>
      <c r="BL12" s="124">
        <f t="shared" ref="BL12:BL23" si="1">SUM(BK12/AU12)</f>
        <v>0.87010378305992631</v>
      </c>
      <c r="BM12" s="103">
        <f>SUM(BM13:BM21)</f>
        <v>100552242</v>
      </c>
      <c r="BN12" s="276" t="s">
        <v>678</v>
      </c>
      <c r="BP12" s="181"/>
      <c r="BQ12" s="181"/>
      <c r="BR12" s="181"/>
      <c r="BS12" s="181"/>
      <c r="BT12" s="181"/>
      <c r="BU12" s="181"/>
      <c r="BV12" s="181"/>
      <c r="BW12" s="181"/>
      <c r="BX12" s="181"/>
      <c r="BY12" s="181"/>
      <c r="BZ12" s="181"/>
      <c r="CA12" s="181"/>
      <c r="CB12" s="181"/>
      <c r="CC12" s="181"/>
      <c r="CD12" s="181"/>
      <c r="CE12" s="181"/>
      <c r="CF12" s="181"/>
      <c r="CG12" s="181"/>
      <c r="CH12" s="181"/>
      <c r="CI12" s="181"/>
      <c r="CJ12" s="181"/>
      <c r="CK12" s="181"/>
      <c r="CL12" s="181"/>
      <c r="CM12" s="181"/>
      <c r="CN12" s="181"/>
      <c r="CO12" s="181"/>
      <c r="CP12" s="181"/>
      <c r="CQ12" s="181"/>
      <c r="CR12" s="181"/>
      <c r="CS12" s="181"/>
      <c r="CT12" s="181"/>
      <c r="CU12" s="181"/>
      <c r="CV12" s="181"/>
      <c r="CW12" s="181"/>
      <c r="CX12" s="181"/>
      <c r="CY12" s="181"/>
      <c r="CZ12" s="181"/>
      <c r="DA12" s="181"/>
      <c r="DB12" s="181"/>
      <c r="DC12" s="181"/>
      <c r="DD12" s="181"/>
      <c r="DE12" s="181"/>
      <c r="DF12" s="181"/>
      <c r="DG12" s="181"/>
      <c r="DH12" s="181"/>
      <c r="DI12" s="181"/>
      <c r="DJ12" s="181"/>
      <c r="DK12" s="181"/>
      <c r="DL12" s="181"/>
      <c r="DM12" s="181"/>
      <c r="DN12" s="181"/>
      <c r="DO12" s="181"/>
      <c r="DP12" s="181"/>
      <c r="DQ12" s="181"/>
      <c r="DR12" s="181"/>
      <c r="DS12" s="181"/>
      <c r="DT12" s="181"/>
      <c r="DU12" s="181"/>
      <c r="DV12" s="181"/>
      <c r="DW12" s="181"/>
      <c r="DX12" s="181"/>
      <c r="DY12" s="181"/>
      <c r="DZ12" s="181"/>
      <c r="EA12" s="181"/>
    </row>
    <row r="13" spans="1:131" ht="27.75" customHeight="1" x14ac:dyDescent="0.2">
      <c r="B13" s="30">
        <v>1</v>
      </c>
      <c r="C13" s="443" t="s">
        <v>18</v>
      </c>
      <c r="D13" s="443"/>
      <c r="E13" s="443"/>
      <c r="F13" s="43"/>
      <c r="G13" s="59"/>
      <c r="H13" s="5" t="s">
        <v>19</v>
      </c>
      <c r="I13" s="10">
        <v>7503</v>
      </c>
      <c r="J13" s="10"/>
      <c r="K13" s="10"/>
      <c r="L13" s="10" t="s">
        <v>369</v>
      </c>
      <c r="M13" s="10" t="s">
        <v>382</v>
      </c>
      <c r="N13" s="10" t="s">
        <v>464</v>
      </c>
      <c r="O13" s="10"/>
      <c r="P13" s="10" t="s">
        <v>480</v>
      </c>
      <c r="Q13" s="10"/>
      <c r="R13" s="10"/>
      <c r="S13" s="10"/>
      <c r="T13" s="10"/>
      <c r="U13" s="48"/>
      <c r="V13" s="48"/>
      <c r="W13" s="48"/>
      <c r="X13" s="48"/>
      <c r="Y13" s="48"/>
      <c r="Z13" s="48"/>
      <c r="AA13" s="48"/>
      <c r="AB13" s="48"/>
      <c r="AC13" s="48"/>
      <c r="AD13" s="48"/>
      <c r="AE13" s="48" t="s">
        <v>576</v>
      </c>
      <c r="AF13" s="48" t="s">
        <v>464</v>
      </c>
      <c r="AG13" s="48"/>
      <c r="AH13" s="48"/>
      <c r="AI13" s="48" t="s">
        <v>612</v>
      </c>
      <c r="AJ13" s="48" t="s">
        <v>624</v>
      </c>
      <c r="AK13" s="48"/>
      <c r="AL13" s="48" t="s">
        <v>638</v>
      </c>
      <c r="AM13" s="48"/>
      <c r="AN13" s="48"/>
      <c r="AO13" s="48"/>
      <c r="AP13" s="48"/>
      <c r="AQ13" s="48"/>
      <c r="AR13" s="48"/>
      <c r="AS13" s="48"/>
      <c r="AT13" s="48"/>
      <c r="AU13" s="234">
        <v>8115</v>
      </c>
      <c r="AV13" s="7">
        <v>227</v>
      </c>
      <c r="AW13" s="108" t="s">
        <v>375</v>
      </c>
      <c r="AX13" s="67">
        <v>910</v>
      </c>
      <c r="AY13" s="10">
        <v>776</v>
      </c>
      <c r="AZ13" s="10">
        <f t="shared" ref="AZ13:AZ20" si="2">+AV13+AW13+AX13+AY13</f>
        <v>2392</v>
      </c>
      <c r="BA13" s="7">
        <v>807</v>
      </c>
      <c r="BB13" s="10">
        <v>826</v>
      </c>
      <c r="BC13" s="108" t="s">
        <v>549</v>
      </c>
      <c r="BD13" s="7">
        <v>794</v>
      </c>
      <c r="BE13" s="10">
        <f t="shared" ref="BE13:BE22" si="3">SUM(BA13+BB13+BC13+BD13)</f>
        <v>3417</v>
      </c>
      <c r="BF13" s="10">
        <v>1088</v>
      </c>
      <c r="BG13" s="108" t="s">
        <v>687</v>
      </c>
      <c r="BH13" s="10"/>
      <c r="BI13" s="7"/>
      <c r="BJ13" s="10">
        <f>SUM(BF13:BI13)+1218</f>
        <v>2306</v>
      </c>
      <c r="BK13" s="10">
        <f>SUM(AZ13+BE13+BJ13)</f>
        <v>8115</v>
      </c>
      <c r="BL13" s="298">
        <f t="shared" si="1"/>
        <v>1</v>
      </c>
      <c r="BM13" s="3">
        <v>32730089</v>
      </c>
      <c r="BN13" s="295" t="s">
        <v>655</v>
      </c>
      <c r="BO13" s="191">
        <v>0</v>
      </c>
      <c r="BP13" s="223"/>
    </row>
    <row r="14" spans="1:131" ht="29.25" customHeight="1" x14ac:dyDescent="0.2">
      <c r="B14" s="30"/>
      <c r="C14" s="504"/>
      <c r="D14" s="505"/>
      <c r="E14" s="506"/>
      <c r="F14" s="173" t="s">
        <v>18</v>
      </c>
      <c r="G14" s="59"/>
      <c r="H14" s="8" t="s">
        <v>19</v>
      </c>
      <c r="I14" s="6">
        <v>7503</v>
      </c>
      <c r="J14" s="6"/>
      <c r="K14" s="6"/>
      <c r="L14" s="10" t="s">
        <v>369</v>
      </c>
      <c r="M14" s="10" t="s">
        <v>382</v>
      </c>
      <c r="N14" s="10" t="s">
        <v>464</v>
      </c>
      <c r="O14" s="10"/>
      <c r="P14" s="10" t="s">
        <v>480</v>
      </c>
      <c r="Q14" s="10"/>
      <c r="R14" s="10"/>
      <c r="S14" s="10"/>
      <c r="T14" s="10"/>
      <c r="U14" s="48"/>
      <c r="V14" s="48"/>
      <c r="W14" s="48"/>
      <c r="X14" s="48"/>
      <c r="Y14" s="48"/>
      <c r="Z14" s="48"/>
      <c r="AA14" s="48"/>
      <c r="AB14" s="48"/>
      <c r="AC14" s="48"/>
      <c r="AD14" s="48"/>
      <c r="AE14" s="48" t="s">
        <v>576</v>
      </c>
      <c r="AF14" s="48" t="s">
        <v>464</v>
      </c>
      <c r="AG14" s="48"/>
      <c r="AH14" s="48"/>
      <c r="AI14" s="48" t="s">
        <v>612</v>
      </c>
      <c r="AJ14" s="48" t="s">
        <v>624</v>
      </c>
      <c r="AK14" s="48"/>
      <c r="AL14" s="48" t="s">
        <v>638</v>
      </c>
      <c r="AM14" s="48"/>
      <c r="AN14" s="48"/>
      <c r="AO14" s="48"/>
      <c r="AP14" s="48"/>
      <c r="AQ14" s="48"/>
      <c r="AR14" s="48"/>
      <c r="AS14" s="48"/>
      <c r="AT14" s="48"/>
      <c r="AU14" s="235">
        <v>8115</v>
      </c>
      <c r="AV14" s="6">
        <v>227</v>
      </c>
      <c r="AW14" s="107" t="s">
        <v>375</v>
      </c>
      <c r="AX14" s="66">
        <v>910</v>
      </c>
      <c r="AY14" s="65">
        <v>776</v>
      </c>
      <c r="AZ14" s="10">
        <f t="shared" si="2"/>
        <v>2392</v>
      </c>
      <c r="BA14" s="6">
        <v>807</v>
      </c>
      <c r="BB14" s="65">
        <v>826</v>
      </c>
      <c r="BC14" s="107" t="s">
        <v>549</v>
      </c>
      <c r="BD14" s="6">
        <v>794</v>
      </c>
      <c r="BE14" s="65">
        <f t="shared" si="3"/>
        <v>3417</v>
      </c>
      <c r="BF14" s="65">
        <v>1088</v>
      </c>
      <c r="BG14" s="107" t="s">
        <v>687</v>
      </c>
      <c r="BH14" s="65"/>
      <c r="BI14" s="6"/>
      <c r="BJ14" s="65">
        <f>SUM(BF14:BI14)+1218</f>
        <v>2306</v>
      </c>
      <c r="BK14" s="65">
        <f>SUM(AZ14+BE14+BJ14)</f>
        <v>8115</v>
      </c>
      <c r="BL14" s="284">
        <f t="shared" si="1"/>
        <v>1</v>
      </c>
      <c r="BM14" s="9"/>
      <c r="BN14" s="250"/>
      <c r="BO14" s="191">
        <v>0</v>
      </c>
    </row>
    <row r="15" spans="1:131" ht="28.5" customHeight="1" x14ac:dyDescent="0.2">
      <c r="B15" s="30">
        <v>2</v>
      </c>
      <c r="C15" s="443" t="s">
        <v>20</v>
      </c>
      <c r="D15" s="443"/>
      <c r="E15" s="443"/>
      <c r="F15" s="43"/>
      <c r="G15" s="51"/>
      <c r="H15" s="5" t="s">
        <v>19</v>
      </c>
      <c r="I15" s="10">
        <v>99</v>
      </c>
      <c r="J15" s="10"/>
      <c r="K15" s="10"/>
      <c r="L15" s="10"/>
      <c r="M15" s="10" t="s">
        <v>383</v>
      </c>
      <c r="N15" s="10"/>
      <c r="O15" s="10"/>
      <c r="P15" s="10" t="s">
        <v>481</v>
      </c>
      <c r="Q15" s="10"/>
      <c r="R15" s="10"/>
      <c r="S15" s="10"/>
      <c r="T15" s="10"/>
      <c r="U15" s="10"/>
      <c r="V15" s="10"/>
      <c r="W15" s="10"/>
      <c r="X15" s="10"/>
      <c r="Y15" s="10"/>
      <c r="Z15" s="10"/>
      <c r="AA15" s="10"/>
      <c r="AB15" s="10"/>
      <c r="AC15" s="10"/>
      <c r="AD15" s="10"/>
      <c r="AE15" s="10"/>
      <c r="AF15" s="48" t="s">
        <v>438</v>
      </c>
      <c r="AG15" s="48" t="s">
        <v>529</v>
      </c>
      <c r="AH15" s="48"/>
      <c r="AI15" s="48" t="s">
        <v>613</v>
      </c>
      <c r="AJ15" s="48" t="s">
        <v>620</v>
      </c>
      <c r="AK15" s="48"/>
      <c r="AL15" s="48"/>
      <c r="AM15" s="48"/>
      <c r="AN15" s="48"/>
      <c r="AO15" s="48"/>
      <c r="AP15" s="48"/>
      <c r="AQ15" s="48" t="s">
        <v>420</v>
      </c>
      <c r="AR15" s="48"/>
      <c r="AS15" s="48"/>
      <c r="AT15" s="48"/>
      <c r="AU15" s="252">
        <v>110</v>
      </c>
      <c r="AV15" s="7">
        <v>9</v>
      </c>
      <c r="AW15" s="7">
        <v>6</v>
      </c>
      <c r="AX15" s="7">
        <v>17</v>
      </c>
      <c r="AY15" s="7">
        <v>12</v>
      </c>
      <c r="AZ15" s="10">
        <f t="shared" si="2"/>
        <v>44</v>
      </c>
      <c r="BA15" s="7">
        <v>14</v>
      </c>
      <c r="BB15" s="7">
        <v>11</v>
      </c>
      <c r="BC15" s="7">
        <v>10</v>
      </c>
      <c r="BD15" s="7">
        <v>14</v>
      </c>
      <c r="BE15" s="10">
        <f t="shared" si="3"/>
        <v>49</v>
      </c>
      <c r="BF15" s="7">
        <v>12</v>
      </c>
      <c r="BG15" s="7">
        <v>4</v>
      </c>
      <c r="BH15" s="115"/>
      <c r="BI15" s="7"/>
      <c r="BJ15" s="7">
        <f t="shared" ref="BJ15:BJ18" si="4">SUM(BF15:BI15)</f>
        <v>16</v>
      </c>
      <c r="BK15" s="7">
        <f t="shared" ref="BK15:BK20" si="5">SUM(AZ15+BE15+BJ15)</f>
        <v>109</v>
      </c>
      <c r="BL15" s="41">
        <f t="shared" si="1"/>
        <v>0.99090909090909096</v>
      </c>
      <c r="BM15" s="3">
        <v>3382008</v>
      </c>
      <c r="BN15" s="295" t="s">
        <v>656</v>
      </c>
      <c r="BO15" s="191">
        <f>13+4+4+5</f>
        <v>26</v>
      </c>
    </row>
    <row r="16" spans="1:131" ht="28.5" customHeight="1" x14ac:dyDescent="0.2">
      <c r="B16" s="30"/>
      <c r="C16" s="440"/>
      <c r="D16" s="441"/>
      <c r="E16" s="442"/>
      <c r="F16" s="173" t="s">
        <v>20</v>
      </c>
      <c r="G16" s="64"/>
      <c r="H16" s="8" t="s">
        <v>19</v>
      </c>
      <c r="I16" s="65">
        <v>99</v>
      </c>
      <c r="J16" s="65"/>
      <c r="K16" s="65"/>
      <c r="L16" s="65"/>
      <c r="M16" s="65" t="s">
        <v>383</v>
      </c>
      <c r="N16" s="65"/>
      <c r="O16" s="65"/>
      <c r="P16" s="10" t="s">
        <v>481</v>
      </c>
      <c r="Q16" s="10"/>
      <c r="R16" s="10"/>
      <c r="S16" s="10"/>
      <c r="T16" s="10"/>
      <c r="U16" s="10"/>
      <c r="V16" s="10"/>
      <c r="W16" s="10"/>
      <c r="X16" s="10"/>
      <c r="Y16" s="10"/>
      <c r="Z16" s="10"/>
      <c r="AA16" s="10"/>
      <c r="AB16" s="10"/>
      <c r="AC16" s="10"/>
      <c r="AD16" s="10"/>
      <c r="AE16" s="10"/>
      <c r="AF16" s="48" t="s">
        <v>438</v>
      </c>
      <c r="AG16" s="48" t="s">
        <v>529</v>
      </c>
      <c r="AH16" s="48"/>
      <c r="AI16" s="48" t="s">
        <v>613</v>
      </c>
      <c r="AJ16" s="48" t="s">
        <v>620</v>
      </c>
      <c r="AK16" s="48"/>
      <c r="AL16" s="48"/>
      <c r="AM16" s="48"/>
      <c r="AN16" s="48"/>
      <c r="AO16" s="48"/>
      <c r="AP16" s="48"/>
      <c r="AQ16" s="48" t="s">
        <v>420</v>
      </c>
      <c r="AR16" s="48"/>
      <c r="AS16" s="48"/>
      <c r="AT16" s="48"/>
      <c r="AU16" s="253">
        <v>110</v>
      </c>
      <c r="AV16" s="6">
        <v>9</v>
      </c>
      <c r="AW16" s="6">
        <v>6</v>
      </c>
      <c r="AX16" s="6">
        <v>17</v>
      </c>
      <c r="AY16" s="6">
        <v>12</v>
      </c>
      <c r="AZ16" s="10">
        <f t="shared" si="2"/>
        <v>44</v>
      </c>
      <c r="BA16" s="6">
        <v>14</v>
      </c>
      <c r="BB16" s="6">
        <v>11</v>
      </c>
      <c r="BC16" s="6">
        <v>10</v>
      </c>
      <c r="BD16" s="6">
        <v>14</v>
      </c>
      <c r="BE16" s="65">
        <f t="shared" si="3"/>
        <v>49</v>
      </c>
      <c r="BF16" s="6">
        <v>12</v>
      </c>
      <c r="BG16" s="6">
        <v>4</v>
      </c>
      <c r="BH16" s="56"/>
      <c r="BI16" s="6"/>
      <c r="BJ16" s="6">
        <f t="shared" si="4"/>
        <v>16</v>
      </c>
      <c r="BK16" s="6">
        <f t="shared" si="5"/>
        <v>109</v>
      </c>
      <c r="BL16" s="68">
        <f t="shared" si="1"/>
        <v>0.99090909090909096</v>
      </c>
      <c r="BM16" s="9"/>
      <c r="BN16" s="9"/>
      <c r="BO16" s="191">
        <f>13+4+4+5</f>
        <v>26</v>
      </c>
    </row>
    <row r="17" spans="2:69" ht="28.5" customHeight="1" x14ac:dyDescent="0.2">
      <c r="B17" s="30">
        <v>3</v>
      </c>
      <c r="C17" s="443" t="s">
        <v>21</v>
      </c>
      <c r="D17" s="443"/>
      <c r="E17" s="443"/>
      <c r="F17" s="43"/>
      <c r="G17" s="64"/>
      <c r="H17" s="5" t="s">
        <v>19</v>
      </c>
      <c r="I17" s="10">
        <v>45</v>
      </c>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5">
        <v>45</v>
      </c>
      <c r="AV17" s="108" t="s">
        <v>211</v>
      </c>
      <c r="AW17" s="108" t="s">
        <v>211</v>
      </c>
      <c r="AX17" s="6">
        <v>6</v>
      </c>
      <c r="AY17" s="7">
        <v>1</v>
      </c>
      <c r="AZ17" s="10">
        <f t="shared" si="2"/>
        <v>7</v>
      </c>
      <c r="BA17" s="7">
        <v>5</v>
      </c>
      <c r="BB17" s="7">
        <v>4</v>
      </c>
      <c r="BC17" s="7">
        <v>1</v>
      </c>
      <c r="BD17" s="7">
        <v>8</v>
      </c>
      <c r="BE17" s="10">
        <f t="shared" si="3"/>
        <v>18</v>
      </c>
      <c r="BF17" s="7">
        <v>3</v>
      </c>
      <c r="BG17" s="7" t="s">
        <v>211</v>
      </c>
      <c r="BH17" s="115"/>
      <c r="BI17" s="7"/>
      <c r="BJ17" s="7">
        <f t="shared" si="4"/>
        <v>3</v>
      </c>
      <c r="BK17" s="7">
        <f>SUM(AZ17+BE17+BJ17)</f>
        <v>28</v>
      </c>
      <c r="BL17" s="41">
        <f t="shared" si="1"/>
        <v>0.62222222222222223</v>
      </c>
      <c r="BM17" s="3">
        <v>4100019</v>
      </c>
      <c r="BN17" s="295" t="s">
        <v>591</v>
      </c>
      <c r="BO17" s="60">
        <f>6+7+7+7</f>
        <v>27</v>
      </c>
    </row>
    <row r="18" spans="2:69" ht="27" customHeight="1" x14ac:dyDescent="0.2">
      <c r="B18" s="30"/>
      <c r="C18" s="440"/>
      <c r="D18" s="441"/>
      <c r="E18" s="442"/>
      <c r="F18" s="44" t="s">
        <v>21</v>
      </c>
      <c r="G18" s="64"/>
      <c r="H18" s="8" t="s">
        <v>19</v>
      </c>
      <c r="I18" s="65">
        <v>45</v>
      </c>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8">
        <v>45</v>
      </c>
      <c r="AV18" s="107" t="s">
        <v>211</v>
      </c>
      <c r="AW18" s="107" t="s">
        <v>211</v>
      </c>
      <c r="AX18" s="6">
        <v>6</v>
      </c>
      <c r="AY18" s="6">
        <v>1</v>
      </c>
      <c r="AZ18" s="10">
        <f t="shared" si="2"/>
        <v>7</v>
      </c>
      <c r="BA18" s="6">
        <v>5</v>
      </c>
      <c r="BB18" s="6">
        <v>4</v>
      </c>
      <c r="BC18" s="6">
        <v>1</v>
      </c>
      <c r="BD18" s="6">
        <v>8</v>
      </c>
      <c r="BE18" s="65">
        <f t="shared" si="3"/>
        <v>18</v>
      </c>
      <c r="BF18" s="6">
        <v>3</v>
      </c>
      <c r="BG18" s="6" t="s">
        <v>211</v>
      </c>
      <c r="BH18" s="56"/>
      <c r="BI18" s="6"/>
      <c r="BJ18" s="6">
        <f t="shared" si="4"/>
        <v>3</v>
      </c>
      <c r="BK18" s="6">
        <f>SUM(AZ18+BE18+BJ18)</f>
        <v>28</v>
      </c>
      <c r="BL18" s="68">
        <f t="shared" si="1"/>
        <v>0.62222222222222223</v>
      </c>
      <c r="BM18" s="9"/>
      <c r="BN18" s="251"/>
      <c r="BO18" s="60">
        <f>6+7+7+7</f>
        <v>27</v>
      </c>
    </row>
    <row r="19" spans="2:69" ht="33" customHeight="1" x14ac:dyDescent="0.2">
      <c r="B19" s="30">
        <v>4</v>
      </c>
      <c r="C19" s="443" t="s">
        <v>22</v>
      </c>
      <c r="D19" s="443"/>
      <c r="E19" s="443"/>
      <c r="F19" s="224"/>
      <c r="G19" s="64"/>
      <c r="H19" s="5" t="s">
        <v>19</v>
      </c>
      <c r="I19" s="10">
        <v>4744</v>
      </c>
      <c r="J19" s="10" t="s">
        <v>358</v>
      </c>
      <c r="K19" s="10"/>
      <c r="L19" s="10" t="s">
        <v>370</v>
      </c>
      <c r="M19" s="65" t="s">
        <v>384</v>
      </c>
      <c r="N19" s="65" t="s">
        <v>465</v>
      </c>
      <c r="O19" s="65"/>
      <c r="P19" s="65" t="s">
        <v>482</v>
      </c>
      <c r="Q19" s="65"/>
      <c r="R19" s="65"/>
      <c r="S19" s="65" t="s">
        <v>412</v>
      </c>
      <c r="T19" s="65"/>
      <c r="U19" s="10" t="s">
        <v>524</v>
      </c>
      <c r="V19" s="10"/>
      <c r="W19" s="10"/>
      <c r="X19" s="10"/>
      <c r="Y19" s="10"/>
      <c r="Z19" s="10"/>
      <c r="AA19" s="10"/>
      <c r="AB19" s="10"/>
      <c r="AC19" s="10"/>
      <c r="AD19" s="10"/>
      <c r="AE19" s="48" t="s">
        <v>577</v>
      </c>
      <c r="AF19" s="48" t="s">
        <v>586</v>
      </c>
      <c r="AG19" s="48" t="s">
        <v>588</v>
      </c>
      <c r="AH19" s="48"/>
      <c r="AI19" s="48" t="s">
        <v>614</v>
      </c>
      <c r="AJ19" s="48" t="s">
        <v>625</v>
      </c>
      <c r="AK19" s="48"/>
      <c r="AL19" s="48" t="s">
        <v>639</v>
      </c>
      <c r="AM19" s="48"/>
      <c r="AN19" s="48"/>
      <c r="AO19" s="48"/>
      <c r="AP19" s="48"/>
      <c r="AQ19" s="48" t="s">
        <v>533</v>
      </c>
      <c r="AR19" s="48"/>
      <c r="AS19" s="48"/>
      <c r="AT19" s="48"/>
      <c r="AU19" s="234">
        <v>6021</v>
      </c>
      <c r="AV19" s="7">
        <v>405</v>
      </c>
      <c r="AW19" s="108" t="s">
        <v>376</v>
      </c>
      <c r="AX19" s="10">
        <v>181</v>
      </c>
      <c r="AY19" s="10">
        <v>586</v>
      </c>
      <c r="AZ19" s="10">
        <f t="shared" si="2"/>
        <v>1414</v>
      </c>
      <c r="BA19" s="7">
        <v>466</v>
      </c>
      <c r="BB19" s="10">
        <v>227</v>
      </c>
      <c r="BC19" s="108" t="s">
        <v>550</v>
      </c>
      <c r="BD19" s="7">
        <v>794</v>
      </c>
      <c r="BE19" s="10">
        <f t="shared" si="3"/>
        <v>1870</v>
      </c>
      <c r="BF19" s="7">
        <v>429</v>
      </c>
      <c r="BG19" s="108" t="s">
        <v>688</v>
      </c>
      <c r="BH19" s="7"/>
      <c r="BI19" s="10"/>
      <c r="BJ19" s="10">
        <f>SUM(BF19:BI19)+595</f>
        <v>1024</v>
      </c>
      <c r="BK19" s="10">
        <f>SUM(AZ19+BE19+BJ19)</f>
        <v>4308</v>
      </c>
      <c r="BL19" s="41">
        <f t="shared" si="1"/>
        <v>0.71549576482311905</v>
      </c>
      <c r="BM19" s="3">
        <v>59268045</v>
      </c>
      <c r="BN19" s="296" t="s">
        <v>657</v>
      </c>
      <c r="BO19" s="191">
        <v>0</v>
      </c>
      <c r="BQ19" s="223"/>
    </row>
    <row r="20" spans="2:69" ht="18.75" customHeight="1" x14ac:dyDescent="0.2">
      <c r="B20" s="30"/>
      <c r="C20" s="440"/>
      <c r="D20" s="441"/>
      <c r="E20" s="442"/>
      <c r="F20" s="44" t="s">
        <v>22</v>
      </c>
      <c r="G20" s="64"/>
      <c r="H20" s="8" t="s">
        <v>19</v>
      </c>
      <c r="I20" s="10">
        <v>4744</v>
      </c>
      <c r="J20" s="10" t="s">
        <v>358</v>
      </c>
      <c r="K20" s="10"/>
      <c r="L20" s="10" t="s">
        <v>370</v>
      </c>
      <c r="M20" s="10" t="s">
        <v>384</v>
      </c>
      <c r="N20" s="65" t="s">
        <v>465</v>
      </c>
      <c r="O20" s="65"/>
      <c r="P20" s="10" t="s">
        <v>482</v>
      </c>
      <c r="Q20" s="10"/>
      <c r="R20" s="10"/>
      <c r="S20" s="65" t="s">
        <v>412</v>
      </c>
      <c r="T20" s="65"/>
      <c r="U20" s="10" t="s">
        <v>524</v>
      </c>
      <c r="V20" s="10"/>
      <c r="W20" s="10"/>
      <c r="X20" s="10"/>
      <c r="Y20" s="10"/>
      <c r="Z20" s="10"/>
      <c r="AA20" s="10"/>
      <c r="AB20" s="10"/>
      <c r="AC20" s="10"/>
      <c r="AD20" s="10"/>
      <c r="AE20" s="48" t="s">
        <v>577</v>
      </c>
      <c r="AF20" s="48" t="s">
        <v>586</v>
      </c>
      <c r="AG20" s="48" t="s">
        <v>588</v>
      </c>
      <c r="AH20" s="48"/>
      <c r="AI20" s="48" t="s">
        <v>614</v>
      </c>
      <c r="AJ20" s="48" t="s">
        <v>625</v>
      </c>
      <c r="AK20" s="48"/>
      <c r="AL20" s="48" t="s">
        <v>639</v>
      </c>
      <c r="AM20" s="48"/>
      <c r="AN20" s="48"/>
      <c r="AO20" s="48"/>
      <c r="AP20" s="48"/>
      <c r="AQ20" s="48" t="s">
        <v>533</v>
      </c>
      <c r="AR20" s="48"/>
      <c r="AS20" s="48"/>
      <c r="AT20" s="48"/>
      <c r="AU20" s="235">
        <v>6021</v>
      </c>
      <c r="AV20" s="105">
        <v>405</v>
      </c>
      <c r="AW20" s="107" t="s">
        <v>376</v>
      </c>
      <c r="AX20" s="65">
        <v>181</v>
      </c>
      <c r="AY20" s="65">
        <v>586</v>
      </c>
      <c r="AZ20" s="10">
        <f t="shared" si="2"/>
        <v>1414</v>
      </c>
      <c r="BA20" s="6">
        <v>466</v>
      </c>
      <c r="BB20" s="65">
        <v>227</v>
      </c>
      <c r="BC20" s="107" t="s">
        <v>550</v>
      </c>
      <c r="BD20" s="6">
        <v>794</v>
      </c>
      <c r="BE20" s="65">
        <f t="shared" si="3"/>
        <v>1870</v>
      </c>
      <c r="BF20" s="6">
        <v>429</v>
      </c>
      <c r="BG20" s="107" t="s">
        <v>688</v>
      </c>
      <c r="BH20" s="6"/>
      <c r="BI20" s="65"/>
      <c r="BJ20" s="65">
        <f>SUM(BF20:BI20)+595</f>
        <v>1024</v>
      </c>
      <c r="BK20" s="65">
        <f t="shared" si="5"/>
        <v>4308</v>
      </c>
      <c r="BL20" s="68">
        <f t="shared" si="1"/>
        <v>0.71549576482311905</v>
      </c>
      <c r="BM20" s="9"/>
      <c r="BN20" s="294"/>
      <c r="BO20" s="191">
        <v>0</v>
      </c>
      <c r="BP20" s="223"/>
    </row>
    <row r="21" spans="2:69" ht="82.5" customHeight="1" x14ac:dyDescent="0.2">
      <c r="B21" s="30"/>
      <c r="C21" s="470" t="s">
        <v>234</v>
      </c>
      <c r="D21" s="470"/>
      <c r="E21" s="470"/>
      <c r="F21" s="120"/>
      <c r="G21" s="121"/>
      <c r="H21" s="5" t="s">
        <v>23</v>
      </c>
      <c r="I21" s="10">
        <v>882</v>
      </c>
      <c r="J21" s="10"/>
      <c r="K21" s="10"/>
      <c r="L21" s="10"/>
      <c r="M21" s="10"/>
      <c r="N21" s="10"/>
      <c r="O21" s="10"/>
      <c r="P21" s="10" t="s">
        <v>483</v>
      </c>
      <c r="Q21" s="10"/>
      <c r="R21" s="10"/>
      <c r="S21" s="10"/>
      <c r="T21" s="10"/>
      <c r="U21" s="10"/>
      <c r="V21" s="10"/>
      <c r="W21" s="10"/>
      <c r="X21" s="10"/>
      <c r="Y21" s="10"/>
      <c r="Z21" s="10"/>
      <c r="AA21" s="10"/>
      <c r="AB21" s="10"/>
      <c r="AC21" s="10"/>
      <c r="AD21" s="10"/>
      <c r="AE21" s="10"/>
      <c r="AF21" s="10"/>
      <c r="AG21" s="10"/>
      <c r="AH21" s="10"/>
      <c r="AI21" s="48" t="s">
        <v>615</v>
      </c>
      <c r="AJ21" s="48"/>
      <c r="AK21" s="48"/>
      <c r="AL21" s="48"/>
      <c r="AM21" s="48"/>
      <c r="AN21" s="48"/>
      <c r="AO21" s="48"/>
      <c r="AP21" s="48"/>
      <c r="AQ21" s="48"/>
      <c r="AR21" s="48"/>
      <c r="AS21" s="48"/>
      <c r="AT21" s="48"/>
      <c r="AU21" s="234">
        <v>644</v>
      </c>
      <c r="AV21" s="108" t="s">
        <v>211</v>
      </c>
      <c r="AW21" s="108" t="s">
        <v>211</v>
      </c>
      <c r="AX21" s="7">
        <v>50</v>
      </c>
      <c r="AY21" s="7">
        <v>75</v>
      </c>
      <c r="AZ21" s="108" t="s">
        <v>497</v>
      </c>
      <c r="BA21" s="7">
        <v>40</v>
      </c>
      <c r="BB21" s="7">
        <v>30</v>
      </c>
      <c r="BC21" s="7">
        <v>85</v>
      </c>
      <c r="BD21" s="7" t="s">
        <v>565</v>
      </c>
      <c r="BE21" s="7">
        <f t="shared" si="3"/>
        <v>220</v>
      </c>
      <c r="BF21" s="108" t="s">
        <v>211</v>
      </c>
      <c r="BG21" s="108" t="s">
        <v>673</v>
      </c>
      <c r="BH21" s="108"/>
      <c r="BI21" s="108"/>
      <c r="BJ21" s="108" t="s">
        <v>673</v>
      </c>
      <c r="BK21" s="108">
        <f>SUM(AZ21+BE21+BJ21)</f>
        <v>435</v>
      </c>
      <c r="BL21" s="41">
        <f t="shared" si="1"/>
        <v>0.67546583850931674</v>
      </c>
      <c r="BM21" s="3">
        <v>1072081</v>
      </c>
      <c r="BN21" s="295" t="s">
        <v>658</v>
      </c>
      <c r="BO21" s="60">
        <f>40+40+120+35</f>
        <v>235</v>
      </c>
    </row>
    <row r="22" spans="2:69" ht="85.5" customHeight="1" x14ac:dyDescent="0.2">
      <c r="B22" s="48"/>
      <c r="C22" s="483"/>
      <c r="D22" s="484"/>
      <c r="E22" s="485"/>
      <c r="F22" s="318" t="s">
        <v>234</v>
      </c>
      <c r="G22" s="64"/>
      <c r="H22" s="11"/>
      <c r="I22" s="65">
        <v>882</v>
      </c>
      <c r="J22" s="65"/>
      <c r="K22" s="65"/>
      <c r="L22" s="65"/>
      <c r="M22" s="65"/>
      <c r="N22" s="65"/>
      <c r="O22" s="65"/>
      <c r="P22" s="65" t="s">
        <v>483</v>
      </c>
      <c r="Q22" s="65"/>
      <c r="R22" s="65"/>
      <c r="S22" s="65"/>
      <c r="T22" s="65"/>
      <c r="U22" s="65"/>
      <c r="V22" s="65"/>
      <c r="W22" s="65"/>
      <c r="X22" s="65"/>
      <c r="Y22" s="65"/>
      <c r="Z22" s="65"/>
      <c r="AA22" s="65"/>
      <c r="AB22" s="65"/>
      <c r="AC22" s="65"/>
      <c r="AD22" s="65"/>
      <c r="AE22" s="65"/>
      <c r="AF22" s="65"/>
      <c r="AG22" s="65"/>
      <c r="AH22" s="65"/>
      <c r="AI22" s="48" t="s">
        <v>615</v>
      </c>
      <c r="AJ22" s="48"/>
      <c r="AK22" s="48"/>
      <c r="AL22" s="48"/>
      <c r="AM22" s="48"/>
      <c r="AN22" s="48"/>
      <c r="AO22" s="48"/>
      <c r="AP22" s="48"/>
      <c r="AQ22" s="48"/>
      <c r="AR22" s="48"/>
      <c r="AS22" s="48"/>
      <c r="AT22" s="48"/>
      <c r="AU22" s="235">
        <v>644</v>
      </c>
      <c r="AV22" s="107" t="s">
        <v>211</v>
      </c>
      <c r="AW22" s="107" t="s">
        <v>211</v>
      </c>
      <c r="AX22" s="105">
        <v>50</v>
      </c>
      <c r="AY22" s="6">
        <v>75</v>
      </c>
      <c r="AZ22" s="107" t="s">
        <v>497</v>
      </c>
      <c r="BA22" s="6">
        <v>40</v>
      </c>
      <c r="BB22" s="6">
        <v>30</v>
      </c>
      <c r="BC22" s="6">
        <v>85</v>
      </c>
      <c r="BD22" s="6" t="s">
        <v>565</v>
      </c>
      <c r="BE22" s="6">
        <f t="shared" si="3"/>
        <v>220</v>
      </c>
      <c r="BF22" s="107" t="s">
        <v>211</v>
      </c>
      <c r="BG22" s="107" t="s">
        <v>673</v>
      </c>
      <c r="BH22" s="107"/>
      <c r="BI22" s="107"/>
      <c r="BJ22" s="107" t="s">
        <v>673</v>
      </c>
      <c r="BK22" s="107">
        <f>SUM(AZ22+BE22+BJ22)</f>
        <v>435</v>
      </c>
      <c r="BL22" s="68">
        <f t="shared" si="1"/>
        <v>0.67546583850931674</v>
      </c>
      <c r="BM22" s="330"/>
      <c r="BN22" s="330"/>
      <c r="BO22" s="60">
        <v>235</v>
      </c>
    </row>
    <row r="23" spans="2:69" ht="52.5" customHeight="1" x14ac:dyDescent="0.2">
      <c r="B23" s="48"/>
      <c r="C23" s="170"/>
      <c r="D23" s="171"/>
      <c r="E23" s="172"/>
      <c r="F23" s="45"/>
      <c r="G23" s="333" t="s">
        <v>585</v>
      </c>
      <c r="H23" s="11" t="s">
        <v>19</v>
      </c>
      <c r="I23" s="65">
        <v>3</v>
      </c>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8">
        <v>3</v>
      </c>
      <c r="AV23" s="107" t="s">
        <v>211</v>
      </c>
      <c r="AW23" s="107" t="s">
        <v>211</v>
      </c>
      <c r="AX23" s="107" t="s">
        <v>211</v>
      </c>
      <c r="AY23" s="107" t="s">
        <v>211</v>
      </c>
      <c r="AZ23" s="107" t="s">
        <v>211</v>
      </c>
      <c r="BA23" s="107" t="s">
        <v>211</v>
      </c>
      <c r="BB23" s="107" t="s">
        <v>211</v>
      </c>
      <c r="BC23" s="107" t="s">
        <v>211</v>
      </c>
      <c r="BD23" s="107" t="s">
        <v>211</v>
      </c>
      <c r="BE23" s="107" t="s">
        <v>211</v>
      </c>
      <c r="BF23" s="107" t="s">
        <v>211</v>
      </c>
      <c r="BG23" s="107" t="s">
        <v>364</v>
      </c>
      <c r="BH23" s="107"/>
      <c r="BI23" s="107"/>
      <c r="BJ23" s="107" t="s">
        <v>364</v>
      </c>
      <c r="BK23" s="107">
        <f>SUM(AZ23+BE23+BJ23)</f>
        <v>3</v>
      </c>
      <c r="BL23" s="284">
        <f t="shared" si="1"/>
        <v>1</v>
      </c>
      <c r="BM23" s="330"/>
      <c r="BN23" s="330"/>
      <c r="BO23" s="72"/>
    </row>
    <row r="24" spans="2:69" ht="21" customHeight="1" x14ac:dyDescent="0.2">
      <c r="B24" s="407" t="s">
        <v>144</v>
      </c>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408"/>
      <c r="BG24" s="408"/>
      <c r="BH24" s="408"/>
      <c r="BI24" s="408"/>
      <c r="BJ24" s="408"/>
      <c r="BK24" s="408"/>
      <c r="BL24" s="408"/>
      <c r="BM24" s="408"/>
      <c r="BN24" s="409"/>
    </row>
    <row r="25" spans="2:69" s="181" customFormat="1" ht="24" customHeight="1" x14ac:dyDescent="0.2">
      <c r="B25" s="426" t="s">
        <v>100</v>
      </c>
      <c r="C25" s="426"/>
      <c r="D25" s="426"/>
      <c r="E25" s="426"/>
      <c r="F25" s="444" t="s">
        <v>143</v>
      </c>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5"/>
      <c r="BA25" s="445"/>
      <c r="BB25" s="445"/>
      <c r="BC25" s="445"/>
      <c r="BD25" s="445"/>
      <c r="BE25" s="445"/>
      <c r="BF25" s="445"/>
      <c r="BG25" s="445"/>
      <c r="BH25" s="445"/>
      <c r="BI25" s="445"/>
      <c r="BJ25" s="445"/>
      <c r="BK25" s="445"/>
      <c r="BL25" s="445"/>
      <c r="BM25" s="445"/>
      <c r="BN25" s="446"/>
    </row>
    <row r="26" spans="2:69" s="181" customFormat="1" ht="22.5" customHeight="1" x14ac:dyDescent="0.2">
      <c r="B26" s="426" t="s">
        <v>90</v>
      </c>
      <c r="C26" s="426"/>
      <c r="D26" s="426"/>
      <c r="E26" s="426"/>
      <c r="F26" s="388" t="s">
        <v>215</v>
      </c>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388"/>
      <c r="BC26" s="388"/>
      <c r="BD26" s="388"/>
      <c r="BE26" s="388"/>
      <c r="BF26" s="388"/>
      <c r="BG26" s="388"/>
      <c r="BH26" s="388"/>
      <c r="BI26" s="388"/>
      <c r="BJ26" s="388"/>
      <c r="BK26" s="388"/>
      <c r="BL26" s="388"/>
      <c r="BM26" s="388"/>
      <c r="BN26" s="388"/>
    </row>
    <row r="27" spans="2:69" s="225" customFormat="1" ht="18" customHeight="1" x14ac:dyDescent="0.25">
      <c r="B27" s="389" t="s">
        <v>145</v>
      </c>
      <c r="C27" s="390"/>
      <c r="D27" s="390"/>
      <c r="E27" s="391"/>
      <c r="F27" s="416" t="s">
        <v>223</v>
      </c>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c r="AS27" s="417"/>
      <c r="AT27" s="417"/>
      <c r="AU27" s="417"/>
      <c r="AV27" s="417"/>
      <c r="AW27" s="417"/>
      <c r="AX27" s="417"/>
      <c r="AY27" s="417"/>
      <c r="AZ27" s="417"/>
      <c r="BA27" s="417"/>
      <c r="BB27" s="417"/>
      <c r="BC27" s="417"/>
      <c r="BD27" s="417"/>
      <c r="BE27" s="417"/>
      <c r="BF27" s="417"/>
      <c r="BG27" s="417"/>
      <c r="BH27" s="417"/>
      <c r="BI27" s="417"/>
      <c r="BJ27" s="417"/>
      <c r="BK27" s="417"/>
      <c r="BL27" s="417"/>
      <c r="BM27" s="417"/>
      <c r="BN27" s="418"/>
    </row>
    <row r="28" spans="2:69" s="181" customFormat="1" ht="15.75" customHeight="1" x14ac:dyDescent="0.2">
      <c r="B28" s="429" t="s">
        <v>101</v>
      </c>
      <c r="C28" s="430"/>
      <c r="D28" s="430"/>
      <c r="E28" s="430"/>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0"/>
      <c r="AP28" s="430"/>
      <c r="AQ28" s="430"/>
      <c r="AR28" s="430"/>
      <c r="AS28" s="430"/>
      <c r="AT28" s="430"/>
      <c r="AU28" s="430"/>
      <c r="AV28" s="430"/>
      <c r="AW28" s="430"/>
      <c r="AX28" s="430"/>
      <c r="AY28" s="430"/>
      <c r="AZ28" s="430"/>
      <c r="BA28" s="430"/>
      <c r="BB28" s="430"/>
      <c r="BC28" s="430"/>
      <c r="BD28" s="430"/>
      <c r="BE28" s="430"/>
      <c r="BF28" s="430"/>
      <c r="BG28" s="430"/>
      <c r="BH28" s="430"/>
      <c r="BI28" s="430"/>
      <c r="BJ28" s="430"/>
      <c r="BK28" s="430"/>
      <c r="BL28" s="430"/>
      <c r="BM28" s="430"/>
      <c r="BN28" s="490"/>
    </row>
    <row r="29" spans="2:69" s="181" customFormat="1" ht="15.75" customHeight="1" x14ac:dyDescent="0.2">
      <c r="B29" s="454" t="s">
        <v>102</v>
      </c>
      <c r="C29" s="454"/>
      <c r="D29" s="454"/>
      <c r="E29" s="454"/>
      <c r="F29" s="464" t="s">
        <v>187</v>
      </c>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4"/>
      <c r="AW29" s="464"/>
      <c r="AX29" s="464"/>
      <c r="AY29" s="464"/>
      <c r="AZ29" s="464"/>
      <c r="BA29" s="464"/>
      <c r="BB29" s="464"/>
      <c r="BC29" s="464"/>
      <c r="BD29" s="464"/>
      <c r="BE29" s="464"/>
      <c r="BF29" s="464"/>
      <c r="BG29" s="464"/>
      <c r="BH29" s="464"/>
      <c r="BI29" s="464"/>
      <c r="BJ29" s="464"/>
      <c r="BK29" s="464"/>
      <c r="BL29" s="464"/>
      <c r="BM29" s="464"/>
      <c r="BN29" s="464"/>
    </row>
    <row r="30" spans="2:69" s="181" customFormat="1" ht="17.25" customHeight="1" x14ac:dyDescent="0.2">
      <c r="B30" s="454" t="s">
        <v>103</v>
      </c>
      <c r="C30" s="454"/>
      <c r="D30" s="454"/>
      <c r="E30" s="454"/>
      <c r="F30" s="464" t="s">
        <v>190</v>
      </c>
      <c r="G30" s="464"/>
      <c r="H30" s="464"/>
      <c r="I30" s="464"/>
      <c r="J30" s="464"/>
      <c r="K30" s="464"/>
      <c r="L30" s="464"/>
      <c r="M30" s="464"/>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4"/>
      <c r="AL30" s="464"/>
      <c r="AM30" s="464"/>
      <c r="AN30" s="464"/>
      <c r="AO30" s="464"/>
      <c r="AP30" s="464"/>
      <c r="AQ30" s="464"/>
      <c r="AR30" s="464"/>
      <c r="AS30" s="464"/>
      <c r="AT30" s="464"/>
      <c r="AU30" s="464"/>
      <c r="AV30" s="464"/>
      <c r="AW30" s="464"/>
      <c r="AX30" s="464"/>
      <c r="AY30" s="464"/>
      <c r="AZ30" s="464"/>
      <c r="BA30" s="464"/>
      <c r="BB30" s="464"/>
      <c r="BC30" s="464"/>
      <c r="BD30" s="464"/>
      <c r="BE30" s="464"/>
      <c r="BF30" s="464"/>
      <c r="BG30" s="464"/>
      <c r="BH30" s="464"/>
      <c r="BI30" s="464"/>
      <c r="BJ30" s="464"/>
      <c r="BK30" s="464"/>
      <c r="BL30" s="464"/>
      <c r="BM30" s="464"/>
      <c r="BN30" s="464"/>
    </row>
    <row r="31" spans="2:69" ht="14.25" customHeight="1" x14ac:dyDescent="0.2">
      <c r="B31" s="88"/>
      <c r="C31" s="413" t="s">
        <v>235</v>
      </c>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c r="AO31" s="414"/>
      <c r="AP31" s="414"/>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4"/>
      <c r="BM31" s="414"/>
      <c r="BN31" s="415"/>
    </row>
    <row r="32" spans="2:69" ht="50.25" customHeight="1" x14ac:dyDescent="0.2">
      <c r="B32" s="192" t="s">
        <v>139</v>
      </c>
      <c r="C32" s="401" t="s">
        <v>94</v>
      </c>
      <c r="D32" s="402"/>
      <c r="E32" s="403"/>
      <c r="F32" s="185" t="s">
        <v>95</v>
      </c>
      <c r="G32" s="186" t="s">
        <v>4</v>
      </c>
      <c r="H32" s="187" t="s">
        <v>3</v>
      </c>
      <c r="I32" s="188" t="s">
        <v>96</v>
      </c>
      <c r="J32" s="207" t="s">
        <v>494</v>
      </c>
      <c r="K32" s="207" t="s">
        <v>495</v>
      </c>
      <c r="L32" s="207" t="s">
        <v>380</v>
      </c>
      <c r="M32" s="208" t="s">
        <v>381</v>
      </c>
      <c r="N32" s="207" t="s">
        <v>517</v>
      </c>
      <c r="O32" s="207" t="s">
        <v>518</v>
      </c>
      <c r="P32" s="207" t="s">
        <v>490</v>
      </c>
      <c r="Q32" s="208" t="s">
        <v>491</v>
      </c>
      <c r="R32" s="208" t="s">
        <v>492</v>
      </c>
      <c r="S32" s="208" t="s">
        <v>493</v>
      </c>
      <c r="T32" s="208" t="s">
        <v>519</v>
      </c>
      <c r="U32" s="208" t="s">
        <v>523</v>
      </c>
      <c r="V32" s="208" t="s">
        <v>525</v>
      </c>
      <c r="W32" s="208" t="s">
        <v>571</v>
      </c>
      <c r="X32" s="208" t="s">
        <v>538</v>
      </c>
      <c r="Y32" s="208" t="s">
        <v>553</v>
      </c>
      <c r="Z32" s="208" t="s">
        <v>554</v>
      </c>
      <c r="AA32" s="307" t="s">
        <v>581</v>
      </c>
      <c r="AB32" s="208" t="s">
        <v>570</v>
      </c>
      <c r="AC32" s="307" t="s">
        <v>564</v>
      </c>
      <c r="AD32" s="307" t="s">
        <v>582</v>
      </c>
      <c r="AE32" s="309" t="s">
        <v>578</v>
      </c>
      <c r="AF32" s="307" t="s">
        <v>635</v>
      </c>
      <c r="AG32" s="307" t="s">
        <v>590</v>
      </c>
      <c r="AH32" s="307" t="s">
        <v>606</v>
      </c>
      <c r="AI32" s="307" t="s">
        <v>636</v>
      </c>
      <c r="AJ32" s="307" t="s">
        <v>623</v>
      </c>
      <c r="AK32" s="307" t="s">
        <v>628</v>
      </c>
      <c r="AL32" s="307" t="s">
        <v>637</v>
      </c>
      <c r="AM32" s="307" t="s">
        <v>641</v>
      </c>
      <c r="AN32" s="307" t="s">
        <v>643</v>
      </c>
      <c r="AO32" s="307" t="s">
        <v>646</v>
      </c>
      <c r="AP32" s="307" t="s">
        <v>650</v>
      </c>
      <c r="AQ32" s="307" t="s">
        <v>689</v>
      </c>
      <c r="AR32" s="307" t="s">
        <v>697</v>
      </c>
      <c r="AS32" s="307" t="s">
        <v>725</v>
      </c>
      <c r="AT32" s="307" t="s">
        <v>729</v>
      </c>
      <c r="AU32" s="188" t="s">
        <v>150</v>
      </c>
      <c r="AV32" s="1" t="s">
        <v>5</v>
      </c>
      <c r="AW32" s="1" t="s">
        <v>6</v>
      </c>
      <c r="AX32" s="1" t="s">
        <v>7</v>
      </c>
      <c r="AY32" s="1" t="s">
        <v>8</v>
      </c>
      <c r="AZ32" s="34" t="s">
        <v>157</v>
      </c>
      <c r="BA32" s="2" t="s">
        <v>9</v>
      </c>
      <c r="BB32" s="2" t="s">
        <v>10</v>
      </c>
      <c r="BC32" s="2" t="s">
        <v>11</v>
      </c>
      <c r="BD32" s="2" t="s">
        <v>12</v>
      </c>
      <c r="BE32" s="34" t="s">
        <v>158</v>
      </c>
      <c r="BF32" s="2" t="s">
        <v>13</v>
      </c>
      <c r="BG32" s="2" t="s">
        <v>14</v>
      </c>
      <c r="BH32" s="2" t="s">
        <v>15</v>
      </c>
      <c r="BI32" s="2" t="s">
        <v>16</v>
      </c>
      <c r="BJ32" s="34" t="s">
        <v>159</v>
      </c>
      <c r="BK32" s="189" t="s">
        <v>97</v>
      </c>
      <c r="BL32" s="189" t="s">
        <v>98</v>
      </c>
      <c r="BM32" s="190" t="s">
        <v>237</v>
      </c>
      <c r="BN32" s="189" t="s">
        <v>99</v>
      </c>
    </row>
    <row r="33" spans="2:70" ht="28.5" customHeight="1" x14ac:dyDescent="0.2">
      <c r="B33" s="400" t="s">
        <v>17</v>
      </c>
      <c r="C33" s="400"/>
      <c r="D33" s="400"/>
      <c r="E33" s="400"/>
      <c r="F33" s="400"/>
      <c r="G33" s="400"/>
      <c r="H33" s="400"/>
      <c r="I33" s="54">
        <f>+I34+I52+I66+I105</f>
        <v>248984</v>
      </c>
      <c r="J33" s="54"/>
      <c r="K33" s="54"/>
      <c r="L33" s="54"/>
      <c r="M33" s="54"/>
      <c r="N33" s="54"/>
      <c r="O33" s="54"/>
      <c r="P33" s="54"/>
      <c r="Q33" s="54"/>
      <c r="R33" s="54"/>
      <c r="S33" s="54"/>
      <c r="T33" s="54"/>
      <c r="U33" s="54"/>
      <c r="V33" s="54"/>
      <c r="W33" s="310"/>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v>286825</v>
      </c>
      <c r="AV33" s="54">
        <f t="shared" ref="AV33:BJ33" si="6">+AV34+AV52+AV66+AV105</f>
        <v>23629</v>
      </c>
      <c r="AW33" s="54">
        <f t="shared" si="6"/>
        <v>23228</v>
      </c>
      <c r="AX33" s="54">
        <f t="shared" si="6"/>
        <v>24206</v>
      </c>
      <c r="AY33" s="54">
        <f t="shared" si="6"/>
        <v>19080</v>
      </c>
      <c r="AZ33" s="54">
        <f t="shared" si="6"/>
        <v>90143</v>
      </c>
      <c r="BA33" s="54">
        <f t="shared" si="6"/>
        <v>24724</v>
      </c>
      <c r="BB33" s="54">
        <f t="shared" si="6"/>
        <v>20825</v>
      </c>
      <c r="BC33" s="54">
        <f t="shared" si="6"/>
        <v>23391</v>
      </c>
      <c r="BD33" s="54">
        <f t="shared" si="6"/>
        <v>23597</v>
      </c>
      <c r="BE33" s="54">
        <f t="shared" si="6"/>
        <v>92537</v>
      </c>
      <c r="BF33" s="54">
        <f t="shared" si="6"/>
        <v>25238</v>
      </c>
      <c r="BG33" s="54">
        <f t="shared" si="6"/>
        <v>26392</v>
      </c>
      <c r="BH33" s="54">
        <f t="shared" si="6"/>
        <v>0</v>
      </c>
      <c r="BI33" s="54">
        <f t="shared" si="6"/>
        <v>0</v>
      </c>
      <c r="BJ33" s="54">
        <f t="shared" si="6"/>
        <v>51630</v>
      </c>
      <c r="BK33" s="54">
        <f>+BK34+BK52+BK66+BK105</f>
        <v>234310</v>
      </c>
      <c r="BL33" s="124">
        <f t="shared" ref="BL33:BL39" si="7">SUM(BK33/AU33)</f>
        <v>0.81690926523141283</v>
      </c>
      <c r="BM33" s="103">
        <f>+BM34+BM52+BM66+BM105</f>
        <v>84934961</v>
      </c>
      <c r="BN33" s="103" t="s">
        <v>679</v>
      </c>
    </row>
    <row r="34" spans="2:70" ht="71.25" customHeight="1" x14ac:dyDescent="0.2">
      <c r="B34" s="30">
        <v>1</v>
      </c>
      <c r="C34" s="455" t="s">
        <v>247</v>
      </c>
      <c r="D34" s="456"/>
      <c r="E34" s="457"/>
      <c r="F34" s="317"/>
      <c r="G34" s="4"/>
      <c r="H34" s="139" t="s">
        <v>23</v>
      </c>
      <c r="I34" s="10">
        <v>2070</v>
      </c>
      <c r="J34" s="10"/>
      <c r="K34" s="10"/>
      <c r="L34" s="10"/>
      <c r="M34" s="10" t="s">
        <v>387</v>
      </c>
      <c r="N34" s="10"/>
      <c r="O34" s="10"/>
      <c r="P34" s="10" t="s">
        <v>465</v>
      </c>
      <c r="Q34" s="10"/>
      <c r="R34" s="10"/>
      <c r="S34" s="10"/>
      <c r="T34" s="10"/>
      <c r="U34" s="10" t="s">
        <v>427</v>
      </c>
      <c r="V34" s="10"/>
      <c r="W34" s="10"/>
      <c r="X34" s="10"/>
      <c r="Y34" s="10"/>
      <c r="Z34" s="10"/>
      <c r="AA34" s="10"/>
      <c r="AB34" s="10"/>
      <c r="AC34" s="10"/>
      <c r="AD34" s="10"/>
      <c r="AE34" s="10"/>
      <c r="AF34" s="10"/>
      <c r="AG34" s="10"/>
      <c r="AH34" s="10"/>
      <c r="AI34" s="10"/>
      <c r="AJ34" s="10"/>
      <c r="AK34" s="10"/>
      <c r="AL34" s="10"/>
      <c r="AM34" s="10"/>
      <c r="AN34" s="10"/>
      <c r="AO34" s="10"/>
      <c r="AP34" s="10"/>
      <c r="AQ34" s="48" t="s">
        <v>469</v>
      </c>
      <c r="AR34" s="48"/>
      <c r="AS34" s="48"/>
      <c r="AT34" s="48"/>
      <c r="AU34" s="252">
        <v>879</v>
      </c>
      <c r="AV34" s="67">
        <v>6</v>
      </c>
      <c r="AW34" s="5">
        <f>+AW35</f>
        <v>7</v>
      </c>
      <c r="AX34" s="5">
        <f>+AX35</f>
        <v>45</v>
      </c>
      <c r="AY34" s="67">
        <f>SUM(AY35+AY45)</f>
        <v>110</v>
      </c>
      <c r="AZ34" s="108">
        <f>SUM(AZ35+AZ45)</f>
        <v>168</v>
      </c>
      <c r="BA34" s="67">
        <f>+BA35+BA45</f>
        <v>373</v>
      </c>
      <c r="BB34" s="67">
        <f>+BB35+BB45</f>
        <v>7</v>
      </c>
      <c r="BC34" s="67">
        <f>+BC35</f>
        <v>8</v>
      </c>
      <c r="BD34" s="67">
        <v>13</v>
      </c>
      <c r="BE34" s="108">
        <f>SUM(BE35+BE45)</f>
        <v>401</v>
      </c>
      <c r="BF34" s="7">
        <f>+BF35+BF45</f>
        <v>15</v>
      </c>
      <c r="BG34" s="7">
        <v>8</v>
      </c>
      <c r="BH34" s="108"/>
      <c r="BI34" s="108"/>
      <c r="BJ34" s="7">
        <f t="shared" ref="BJ34:BJ42" si="8">SUM(BF34:BI34)</f>
        <v>23</v>
      </c>
      <c r="BK34" s="7">
        <f>SUM(AZ34+BE34+BJ34)</f>
        <v>592</v>
      </c>
      <c r="BL34" s="41">
        <f t="shared" si="7"/>
        <v>0.67349260523321952</v>
      </c>
      <c r="BM34" s="3">
        <v>5234135</v>
      </c>
      <c r="BN34" s="297" t="s">
        <v>659</v>
      </c>
      <c r="BO34" s="61">
        <f>95+39+108+6</f>
        <v>248</v>
      </c>
      <c r="BP34" s="223"/>
    </row>
    <row r="35" spans="2:70" ht="70.5" customHeight="1" x14ac:dyDescent="0.2">
      <c r="B35" s="48"/>
      <c r="C35" s="466"/>
      <c r="D35" s="467"/>
      <c r="E35" s="468"/>
      <c r="F35" s="319" t="s">
        <v>512</v>
      </c>
      <c r="G35" s="4"/>
      <c r="H35" s="140" t="s">
        <v>23</v>
      </c>
      <c r="I35" s="10">
        <v>189</v>
      </c>
      <c r="J35" s="10"/>
      <c r="K35" s="10"/>
      <c r="L35" s="10"/>
      <c r="M35" s="10" t="s">
        <v>385</v>
      </c>
      <c r="N35" s="10"/>
      <c r="O35" s="10"/>
      <c r="P35" s="10" t="s">
        <v>465</v>
      </c>
      <c r="Q35" s="10"/>
      <c r="R35" s="10"/>
      <c r="S35" s="10"/>
      <c r="T35" s="10"/>
      <c r="U35" s="10" t="s">
        <v>427</v>
      </c>
      <c r="V35" s="10"/>
      <c r="W35" s="10"/>
      <c r="X35" s="10"/>
      <c r="Y35" s="10"/>
      <c r="Z35" s="10"/>
      <c r="AA35" s="10"/>
      <c r="AB35" s="10"/>
      <c r="AC35" s="10"/>
      <c r="AD35" s="10"/>
      <c r="AE35" s="10"/>
      <c r="AF35" s="10"/>
      <c r="AG35" s="10"/>
      <c r="AH35" s="10"/>
      <c r="AI35" s="10"/>
      <c r="AJ35" s="10"/>
      <c r="AK35" s="10"/>
      <c r="AL35" s="10"/>
      <c r="AM35" s="10"/>
      <c r="AN35" s="10"/>
      <c r="AO35" s="10"/>
      <c r="AP35" s="10"/>
      <c r="AQ35" s="48" t="s">
        <v>469</v>
      </c>
      <c r="AR35" s="48"/>
      <c r="AS35" s="48"/>
      <c r="AT35" s="48"/>
      <c r="AU35" s="252">
        <v>148</v>
      </c>
      <c r="AV35" s="7">
        <v>6</v>
      </c>
      <c r="AW35" s="7">
        <v>7</v>
      </c>
      <c r="AX35" s="5">
        <v>45</v>
      </c>
      <c r="AY35" s="7">
        <v>10</v>
      </c>
      <c r="AZ35" s="10">
        <f>+AV35+AW35+AX35+AY35</f>
        <v>68</v>
      </c>
      <c r="BA35" s="7">
        <v>8</v>
      </c>
      <c r="BB35" s="7">
        <v>7</v>
      </c>
      <c r="BC35" s="7">
        <v>8</v>
      </c>
      <c r="BD35" s="7">
        <v>13</v>
      </c>
      <c r="BE35" s="7">
        <f>SUM(BA35+BB35+BC35+BD35)</f>
        <v>36</v>
      </c>
      <c r="BF35" s="7">
        <v>15</v>
      </c>
      <c r="BG35" s="7">
        <v>8</v>
      </c>
      <c r="BH35" s="108"/>
      <c r="BI35" s="115"/>
      <c r="BJ35" s="7">
        <f t="shared" si="8"/>
        <v>23</v>
      </c>
      <c r="BK35" s="7">
        <f>SUM(AZ35+BE35+BJ35)</f>
        <v>127</v>
      </c>
      <c r="BL35" s="41">
        <f t="shared" si="7"/>
        <v>0.85810810810810811</v>
      </c>
      <c r="BM35" s="126"/>
      <c r="BN35" s="53"/>
      <c r="BO35" s="61">
        <f>1+1+0+0</f>
        <v>2</v>
      </c>
      <c r="BP35" s="226"/>
      <c r="BR35" s="226"/>
    </row>
    <row r="36" spans="2:70" ht="69" customHeight="1" x14ac:dyDescent="0.2">
      <c r="B36" s="48"/>
      <c r="C36" s="451"/>
      <c r="D36" s="452"/>
      <c r="E36" s="453"/>
      <c r="F36" s="116"/>
      <c r="G36" s="64" t="s">
        <v>238</v>
      </c>
      <c r="H36" s="8" t="s">
        <v>25</v>
      </c>
      <c r="I36" s="6">
        <v>12</v>
      </c>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12</v>
      </c>
      <c r="AV36" s="7">
        <v>2</v>
      </c>
      <c r="AW36" s="107" t="s">
        <v>364</v>
      </c>
      <c r="AX36" s="107" t="s">
        <v>472</v>
      </c>
      <c r="AY36" s="6">
        <v>2</v>
      </c>
      <c r="AZ36" s="10">
        <f>+AV36+AW36+AX36+AY36</f>
        <v>13</v>
      </c>
      <c r="BA36" s="107" t="s">
        <v>211</v>
      </c>
      <c r="BB36" s="107" t="s">
        <v>510</v>
      </c>
      <c r="BC36" s="56">
        <v>6</v>
      </c>
      <c r="BD36" s="107" t="s">
        <v>211</v>
      </c>
      <c r="BE36" s="107">
        <f t="shared" ref="BE36:BE46" si="9">SUM(BA36+BB36+BC36+BD36)</f>
        <v>14</v>
      </c>
      <c r="BF36" s="6">
        <v>36</v>
      </c>
      <c r="BG36" s="107" t="s">
        <v>372</v>
      </c>
      <c r="BH36" s="107"/>
      <c r="BI36" s="107"/>
      <c r="BJ36" s="107" t="s">
        <v>700</v>
      </c>
      <c r="BK36" s="6">
        <v>12</v>
      </c>
      <c r="BL36" s="261">
        <f t="shared" si="7"/>
        <v>1</v>
      </c>
      <c r="BM36" s="9"/>
      <c r="BN36" s="53"/>
      <c r="BO36" s="61">
        <f>32+6+6+6</f>
        <v>50</v>
      </c>
      <c r="BP36" s="226"/>
    </row>
    <row r="37" spans="2:70" ht="69" customHeight="1" x14ac:dyDescent="0.2">
      <c r="B37" s="48"/>
      <c r="C37" s="451"/>
      <c r="D37" s="452"/>
      <c r="E37" s="453"/>
      <c r="F37" s="116"/>
      <c r="G37" s="64" t="s">
        <v>239</v>
      </c>
      <c r="H37" s="8" t="s">
        <v>25</v>
      </c>
      <c r="I37" s="65">
        <v>1276</v>
      </c>
      <c r="J37" s="65"/>
      <c r="K37" s="65"/>
      <c r="L37" s="65"/>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65">
        <v>1276</v>
      </c>
      <c r="AV37" s="6">
        <v>18</v>
      </c>
      <c r="AW37" s="6">
        <v>58</v>
      </c>
      <c r="AX37" s="6">
        <v>61</v>
      </c>
      <c r="AY37" s="6">
        <v>78</v>
      </c>
      <c r="AZ37" s="65">
        <f>+AV37+AW37+AX37+AY37</f>
        <v>215</v>
      </c>
      <c r="BA37" s="6">
        <v>106</v>
      </c>
      <c r="BB37" s="6">
        <v>132</v>
      </c>
      <c r="BC37" s="6">
        <v>80</v>
      </c>
      <c r="BD37" s="6">
        <v>60</v>
      </c>
      <c r="BE37" s="6">
        <f t="shared" si="9"/>
        <v>378</v>
      </c>
      <c r="BF37" s="6">
        <v>132</v>
      </c>
      <c r="BG37" s="107" t="s">
        <v>211</v>
      </c>
      <c r="BH37" s="6"/>
      <c r="BI37" s="6"/>
      <c r="BJ37" s="6">
        <f t="shared" si="8"/>
        <v>132</v>
      </c>
      <c r="BK37" s="65">
        <f>SUM(AZ37+BE37+BJ37)</f>
        <v>725</v>
      </c>
      <c r="BL37" s="68">
        <f t="shared" si="7"/>
        <v>0.56818181818181823</v>
      </c>
      <c r="BM37" s="12"/>
      <c r="BN37" s="12"/>
      <c r="BP37" s="226"/>
    </row>
    <row r="38" spans="2:70" ht="48" customHeight="1" x14ac:dyDescent="0.2">
      <c r="B38" s="48"/>
      <c r="C38" s="451"/>
      <c r="D38" s="452"/>
      <c r="E38" s="453"/>
      <c r="F38" s="116"/>
      <c r="G38" s="64" t="s">
        <v>240</v>
      </c>
      <c r="H38" s="8" t="s">
        <v>25</v>
      </c>
      <c r="I38" s="8">
        <v>284</v>
      </c>
      <c r="J38" s="8"/>
      <c r="K38" s="8"/>
      <c r="L38" s="8"/>
      <c r="M38" s="10" t="s">
        <v>388</v>
      </c>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253">
        <v>360</v>
      </c>
      <c r="AV38" s="6">
        <v>9</v>
      </c>
      <c r="AW38" s="6">
        <v>33</v>
      </c>
      <c r="AX38" s="6">
        <v>4</v>
      </c>
      <c r="AY38" s="6">
        <v>20</v>
      </c>
      <c r="AZ38" s="65">
        <f>+AV38+AW38+AX38+AY38</f>
        <v>66</v>
      </c>
      <c r="BA38" s="6">
        <v>55</v>
      </c>
      <c r="BB38" s="6">
        <v>30</v>
      </c>
      <c r="BC38" s="6">
        <v>44</v>
      </c>
      <c r="BD38" s="6">
        <v>20</v>
      </c>
      <c r="BE38" s="6">
        <f t="shared" si="9"/>
        <v>149</v>
      </c>
      <c r="BF38" s="6">
        <v>33</v>
      </c>
      <c r="BG38" s="6">
        <v>8</v>
      </c>
      <c r="BH38" s="6"/>
      <c r="BI38" s="107"/>
      <c r="BJ38" s="6">
        <f t="shared" si="8"/>
        <v>41</v>
      </c>
      <c r="BK38" s="6">
        <f>SUM(AZ38+BE38+BJ38)</f>
        <v>256</v>
      </c>
      <c r="BL38" s="68">
        <f t="shared" si="7"/>
        <v>0.71111111111111114</v>
      </c>
      <c r="BM38" s="12"/>
      <c r="BN38" s="12"/>
      <c r="BP38" s="226"/>
    </row>
    <row r="39" spans="2:70" ht="61.5" customHeight="1" x14ac:dyDescent="0.2">
      <c r="B39" s="48"/>
      <c r="C39" s="451"/>
      <c r="D39" s="452"/>
      <c r="E39" s="453"/>
      <c r="F39" s="116"/>
      <c r="G39" s="73" t="s">
        <v>241</v>
      </c>
      <c r="H39" s="8" t="s">
        <v>25</v>
      </c>
      <c r="I39" s="8">
        <v>74</v>
      </c>
      <c r="J39" s="8"/>
      <c r="K39" s="8"/>
      <c r="L39" s="8"/>
      <c r="M39" s="10" t="s">
        <v>389</v>
      </c>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253">
        <v>250</v>
      </c>
      <c r="AV39" s="6">
        <v>2</v>
      </c>
      <c r="AW39" s="6">
        <v>2</v>
      </c>
      <c r="AX39" s="6">
        <v>4</v>
      </c>
      <c r="AY39" s="6">
        <v>6</v>
      </c>
      <c r="AZ39" s="65">
        <f>+AV39+AW39+AX39+AY39</f>
        <v>14</v>
      </c>
      <c r="BA39" s="6">
        <v>38</v>
      </c>
      <c r="BB39" s="6">
        <v>19</v>
      </c>
      <c r="BC39" s="6">
        <v>27</v>
      </c>
      <c r="BD39" s="6">
        <v>2</v>
      </c>
      <c r="BE39" s="6">
        <f t="shared" si="9"/>
        <v>86</v>
      </c>
      <c r="BF39" s="6">
        <v>36</v>
      </c>
      <c r="BG39" s="107" t="s">
        <v>627</v>
      </c>
      <c r="BH39" s="107"/>
      <c r="BI39" s="107"/>
      <c r="BJ39" s="6">
        <v>45</v>
      </c>
      <c r="BK39" s="6">
        <f>SUM(AZ39+BE39+BJ39)</f>
        <v>145</v>
      </c>
      <c r="BL39" s="68">
        <f t="shared" si="7"/>
        <v>0.57999999999999996</v>
      </c>
      <c r="BM39" s="12"/>
      <c r="BN39" s="12"/>
    </row>
    <row r="40" spans="2:70" ht="61.5" customHeight="1" x14ac:dyDescent="0.2">
      <c r="B40" s="48"/>
      <c r="C40" s="193"/>
      <c r="D40" s="194"/>
      <c r="E40" s="195"/>
      <c r="F40" s="116"/>
      <c r="G40" s="64" t="s">
        <v>242</v>
      </c>
      <c r="H40" s="8" t="s">
        <v>25</v>
      </c>
      <c r="I40" s="8">
        <v>39</v>
      </c>
      <c r="J40" s="8"/>
      <c r="K40" s="8"/>
      <c r="L40" s="8"/>
      <c r="M40" s="10" t="s">
        <v>390</v>
      </c>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253">
        <v>50</v>
      </c>
      <c r="AV40" s="107" t="s">
        <v>211</v>
      </c>
      <c r="AW40" s="107" t="s">
        <v>211</v>
      </c>
      <c r="AX40" s="107" t="s">
        <v>211</v>
      </c>
      <c r="AY40" s="107" t="s">
        <v>211</v>
      </c>
      <c r="AZ40" s="107" t="s">
        <v>211</v>
      </c>
      <c r="BA40" s="107" t="s">
        <v>211</v>
      </c>
      <c r="BB40" s="107" t="s">
        <v>211</v>
      </c>
      <c r="BC40" s="107" t="s">
        <v>211</v>
      </c>
      <c r="BD40" s="107" t="s">
        <v>211</v>
      </c>
      <c r="BE40" s="107" t="s">
        <v>211</v>
      </c>
      <c r="BF40" s="107" t="s">
        <v>211</v>
      </c>
      <c r="BG40" s="107" t="s">
        <v>211</v>
      </c>
      <c r="BH40" s="107"/>
      <c r="BI40" s="107"/>
      <c r="BJ40" s="107">
        <f t="shared" si="8"/>
        <v>0</v>
      </c>
      <c r="BK40" s="107" t="s">
        <v>211</v>
      </c>
      <c r="BL40" s="107" t="s">
        <v>211</v>
      </c>
      <c r="BM40" s="12"/>
      <c r="BN40" s="12"/>
    </row>
    <row r="41" spans="2:70" ht="59.25" customHeight="1" x14ac:dyDescent="0.2">
      <c r="B41" s="48"/>
      <c r="C41" s="451"/>
      <c r="D41" s="452"/>
      <c r="E41" s="453"/>
      <c r="F41" s="116"/>
      <c r="G41" s="64" t="s">
        <v>243</v>
      </c>
      <c r="H41" s="8" t="s">
        <v>25</v>
      </c>
      <c r="I41" s="8">
        <v>282</v>
      </c>
      <c r="J41" s="8"/>
      <c r="K41" s="8"/>
      <c r="L41" s="8"/>
      <c r="N41" s="48"/>
      <c r="AU41" s="8">
        <v>282</v>
      </c>
      <c r="AV41" s="107" t="s">
        <v>211</v>
      </c>
      <c r="AW41" s="6">
        <v>7</v>
      </c>
      <c r="AX41" s="6">
        <v>188</v>
      </c>
      <c r="AY41" s="107" t="s">
        <v>211</v>
      </c>
      <c r="AZ41" s="273">
        <f>7+188</f>
        <v>195</v>
      </c>
      <c r="BA41" s="107" t="s">
        <v>211</v>
      </c>
      <c r="BB41" s="107" t="s">
        <v>211</v>
      </c>
      <c r="BC41" s="107" t="s">
        <v>211</v>
      </c>
      <c r="BD41" s="6">
        <v>7</v>
      </c>
      <c r="BE41" s="107" t="s">
        <v>522</v>
      </c>
      <c r="BF41" s="6">
        <v>194</v>
      </c>
      <c r="BG41" s="107" t="s">
        <v>472</v>
      </c>
      <c r="BH41" s="107"/>
      <c r="BI41" s="107"/>
      <c r="BJ41" s="6">
        <v>200</v>
      </c>
      <c r="BK41" s="107" t="s">
        <v>715</v>
      </c>
      <c r="BL41" s="284">
        <f>SUM(BK41/AU41)</f>
        <v>1</v>
      </c>
      <c r="BM41" s="12"/>
      <c r="BN41" s="12"/>
    </row>
    <row r="42" spans="2:70" ht="83.25" customHeight="1" x14ac:dyDescent="0.2">
      <c r="B42" s="48"/>
      <c r="C42" s="458"/>
      <c r="D42" s="458"/>
      <c r="E42" s="458"/>
      <c r="F42" s="64"/>
      <c r="G42" s="16" t="s">
        <v>244</v>
      </c>
      <c r="H42" s="8" t="s">
        <v>25</v>
      </c>
      <c r="I42" s="6">
        <v>466</v>
      </c>
      <c r="J42" s="6"/>
      <c r="K42" s="6"/>
      <c r="L42" s="6"/>
      <c r="M42" s="10" t="s">
        <v>391</v>
      </c>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334">
        <v>520</v>
      </c>
      <c r="AV42" s="6">
        <v>32</v>
      </c>
      <c r="AW42" s="6">
        <v>38</v>
      </c>
      <c r="AX42" s="6">
        <v>46</v>
      </c>
      <c r="AY42" s="6">
        <v>34</v>
      </c>
      <c r="AZ42" s="65">
        <f>+AV42+AW42+AX42+AY42</f>
        <v>150</v>
      </c>
      <c r="BA42" s="6">
        <v>43</v>
      </c>
      <c r="BB42" s="6">
        <v>42</v>
      </c>
      <c r="BC42" s="6" t="s">
        <v>211</v>
      </c>
      <c r="BD42" s="6">
        <v>3</v>
      </c>
      <c r="BE42" s="6">
        <f t="shared" si="9"/>
        <v>88</v>
      </c>
      <c r="BF42" s="6">
        <v>49</v>
      </c>
      <c r="BG42" s="6">
        <v>45</v>
      </c>
      <c r="BH42" s="6"/>
      <c r="BI42" s="6"/>
      <c r="BJ42" s="6">
        <f t="shared" si="8"/>
        <v>94</v>
      </c>
      <c r="BK42" s="6">
        <v>332</v>
      </c>
      <c r="BL42" s="68">
        <f>SUM(BK42/AU42)</f>
        <v>0.63846153846153841</v>
      </c>
      <c r="BM42" s="205"/>
      <c r="BN42" s="12"/>
    </row>
    <row r="43" spans="2:70" ht="69" customHeight="1" x14ac:dyDescent="0.2">
      <c r="B43" s="48"/>
      <c r="C43" s="458"/>
      <c r="D43" s="458"/>
      <c r="E43" s="458"/>
      <c r="F43" s="64"/>
      <c r="G43" s="16" t="s">
        <v>245</v>
      </c>
      <c r="H43" s="8" t="s">
        <v>25</v>
      </c>
      <c r="I43" s="6">
        <v>10</v>
      </c>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10</v>
      </c>
      <c r="AV43" s="107" t="s">
        <v>211</v>
      </c>
      <c r="AW43" s="107" t="s">
        <v>211</v>
      </c>
      <c r="AX43" s="107" t="s">
        <v>211</v>
      </c>
      <c r="AY43" s="107" t="s">
        <v>211</v>
      </c>
      <c r="AZ43" s="107" t="s">
        <v>211</v>
      </c>
      <c r="BA43" s="107" t="s">
        <v>211</v>
      </c>
      <c r="BB43" s="6">
        <v>4</v>
      </c>
      <c r="BC43" s="107" t="s">
        <v>360</v>
      </c>
      <c r="BD43" s="107" t="s">
        <v>211</v>
      </c>
      <c r="BE43" s="6">
        <f t="shared" si="9"/>
        <v>6</v>
      </c>
      <c r="BF43" s="6">
        <v>5</v>
      </c>
      <c r="BG43" s="107" t="s">
        <v>474</v>
      </c>
      <c r="BH43" s="6"/>
      <c r="BI43" s="107"/>
      <c r="BJ43" s="6">
        <v>15</v>
      </c>
      <c r="BK43" s="107" t="s">
        <v>474</v>
      </c>
      <c r="BL43" s="284">
        <f>SUM(BK43/AU43)</f>
        <v>1</v>
      </c>
      <c r="BM43" s="12"/>
      <c r="BN43" s="48"/>
    </row>
    <row r="44" spans="2:70" ht="72" customHeight="1" x14ac:dyDescent="0.2">
      <c r="B44" s="48"/>
      <c r="C44" s="458"/>
      <c r="D44" s="458"/>
      <c r="E44" s="458"/>
      <c r="F44" s="64"/>
      <c r="G44" s="16" t="s">
        <v>246</v>
      </c>
      <c r="H44" s="8" t="s">
        <v>25</v>
      </c>
      <c r="I44" s="6">
        <v>5</v>
      </c>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v>5</v>
      </c>
      <c r="AV44" s="107" t="s">
        <v>211</v>
      </c>
      <c r="AW44" s="107" t="s">
        <v>372</v>
      </c>
      <c r="AX44" s="107" t="s">
        <v>211</v>
      </c>
      <c r="AY44" s="107" t="s">
        <v>211</v>
      </c>
      <c r="AZ44" s="107" t="s">
        <v>372</v>
      </c>
      <c r="BA44" s="107" t="s">
        <v>211</v>
      </c>
      <c r="BB44" s="6">
        <v>1</v>
      </c>
      <c r="BC44" s="6" t="s">
        <v>211</v>
      </c>
      <c r="BD44" s="107" t="s">
        <v>211</v>
      </c>
      <c r="BE44" s="6">
        <f t="shared" si="9"/>
        <v>1</v>
      </c>
      <c r="BF44" s="107" t="s">
        <v>211</v>
      </c>
      <c r="BG44" s="107" t="s">
        <v>211</v>
      </c>
      <c r="BH44" s="6"/>
      <c r="BI44" s="107"/>
      <c r="BJ44" s="6">
        <f>SUM(BF44:BI44)</f>
        <v>0</v>
      </c>
      <c r="BK44" s="107" t="s">
        <v>472</v>
      </c>
      <c r="BL44" s="243" t="s">
        <v>379</v>
      </c>
      <c r="BM44" s="9"/>
      <c r="BN44" s="12"/>
      <c r="BO44" s="177">
        <f>60+30+100+0</f>
        <v>190</v>
      </c>
    </row>
    <row r="45" spans="2:70" ht="75" customHeight="1" x14ac:dyDescent="0.2">
      <c r="B45" s="48"/>
      <c r="C45" s="451"/>
      <c r="D45" s="452"/>
      <c r="E45" s="453"/>
      <c r="F45" s="64" t="s">
        <v>513</v>
      </c>
      <c r="G45" s="50"/>
      <c r="H45" s="74" t="s">
        <v>23</v>
      </c>
      <c r="I45" s="10">
        <v>1881</v>
      </c>
      <c r="J45" s="10"/>
      <c r="K45" s="10"/>
      <c r="L45" s="10"/>
      <c r="M45" s="10" t="s">
        <v>386</v>
      </c>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252">
        <v>731</v>
      </c>
      <c r="AV45" s="108" t="s">
        <v>211</v>
      </c>
      <c r="AW45" s="108" t="s">
        <v>211</v>
      </c>
      <c r="AX45" s="108" t="s">
        <v>211</v>
      </c>
      <c r="AY45" s="108" t="s">
        <v>496</v>
      </c>
      <c r="AZ45" s="107" t="s">
        <v>496</v>
      </c>
      <c r="BA45" s="7">
        <v>365</v>
      </c>
      <c r="BB45" s="108" t="s">
        <v>211</v>
      </c>
      <c r="BC45" s="108" t="s">
        <v>211</v>
      </c>
      <c r="BD45" s="108" t="s">
        <v>211</v>
      </c>
      <c r="BE45" s="108">
        <f t="shared" si="9"/>
        <v>365</v>
      </c>
      <c r="BF45" s="108" t="s">
        <v>211</v>
      </c>
      <c r="BG45" s="7" t="s">
        <v>211</v>
      </c>
      <c r="BH45" s="7"/>
      <c r="BI45" s="7"/>
      <c r="BJ45" s="108" t="s">
        <v>211</v>
      </c>
      <c r="BK45" s="108">
        <f>SUM(AZ45+BE45+BJ45)</f>
        <v>465</v>
      </c>
      <c r="BL45" s="41">
        <f>SUM(BK45/AU45)</f>
        <v>0.63611491108071139</v>
      </c>
      <c r="BM45" s="12"/>
      <c r="BN45" s="12"/>
    </row>
    <row r="46" spans="2:70" ht="32.25" customHeight="1" x14ac:dyDescent="0.2">
      <c r="B46" s="48"/>
      <c r="C46" s="451"/>
      <c r="D46" s="452"/>
      <c r="E46" s="453"/>
      <c r="F46" s="141"/>
      <c r="G46" s="16" t="s">
        <v>26</v>
      </c>
      <c r="H46" s="8" t="s">
        <v>25</v>
      </c>
      <c r="I46" s="65">
        <v>1881</v>
      </c>
      <c r="J46" s="65"/>
      <c r="K46" s="65"/>
      <c r="L46" s="65"/>
      <c r="M46" s="10" t="s">
        <v>386</v>
      </c>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254">
        <v>731</v>
      </c>
      <c r="AV46" s="107" t="s">
        <v>211</v>
      </c>
      <c r="AW46" s="107" t="s">
        <v>211</v>
      </c>
      <c r="AX46" s="107" t="s">
        <v>211</v>
      </c>
      <c r="AY46" s="6">
        <v>100</v>
      </c>
      <c r="AZ46" s="107" t="s">
        <v>496</v>
      </c>
      <c r="BA46" s="6">
        <v>365</v>
      </c>
      <c r="BB46" s="107" t="s">
        <v>211</v>
      </c>
      <c r="BC46" s="107" t="s">
        <v>211</v>
      </c>
      <c r="BD46" s="107" t="s">
        <v>211</v>
      </c>
      <c r="BE46" s="6">
        <f t="shared" si="9"/>
        <v>365</v>
      </c>
      <c r="BF46" s="107" t="s">
        <v>211</v>
      </c>
      <c r="BG46" s="107" t="s">
        <v>211</v>
      </c>
      <c r="BH46" s="6"/>
      <c r="BI46" s="6"/>
      <c r="BJ46" s="6">
        <f>SUM(BF46:BI46)</f>
        <v>0</v>
      </c>
      <c r="BK46" s="107">
        <f>SUM(AZ46+BE46+BJ46)</f>
        <v>465</v>
      </c>
      <c r="BL46" s="68">
        <f>SUM(BK46/AU46)</f>
        <v>0.63611491108071139</v>
      </c>
      <c r="BM46" s="9"/>
      <c r="BN46" s="53"/>
      <c r="BO46" s="61">
        <f>2+2+2+0</f>
        <v>6</v>
      </c>
    </row>
    <row r="47" spans="2:70" s="181" customFormat="1" ht="18.75" customHeight="1" x14ac:dyDescent="0.2">
      <c r="B47" s="429" t="s">
        <v>106</v>
      </c>
      <c r="C47" s="430"/>
      <c r="D47" s="430"/>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0"/>
      <c r="AY47" s="430"/>
      <c r="AZ47" s="430"/>
      <c r="BA47" s="430"/>
      <c r="BB47" s="430"/>
      <c r="BC47" s="430"/>
      <c r="BD47" s="430"/>
      <c r="BE47" s="430"/>
      <c r="BF47" s="430"/>
      <c r="BG47" s="430"/>
      <c r="BH47" s="430"/>
      <c r="BI47" s="430"/>
      <c r="BJ47" s="430"/>
      <c r="BK47" s="430"/>
      <c r="BL47" s="430"/>
      <c r="BM47" s="430"/>
      <c r="BN47" s="218"/>
    </row>
    <row r="48" spans="2:70" s="181" customFormat="1" ht="27.75" customHeight="1" x14ac:dyDescent="0.2">
      <c r="B48" s="450" t="s">
        <v>102</v>
      </c>
      <c r="C48" s="450"/>
      <c r="D48" s="450"/>
      <c r="E48" s="450"/>
      <c r="F48" s="465" t="s">
        <v>188</v>
      </c>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5"/>
      <c r="AW48" s="465"/>
      <c r="AX48" s="465"/>
      <c r="AY48" s="465"/>
      <c r="AZ48" s="465"/>
      <c r="BA48" s="465"/>
      <c r="BB48" s="465"/>
      <c r="BC48" s="465"/>
      <c r="BD48" s="465"/>
      <c r="BE48" s="465"/>
      <c r="BF48" s="465"/>
      <c r="BG48" s="465"/>
      <c r="BH48" s="465"/>
      <c r="BI48" s="465"/>
      <c r="BJ48" s="465"/>
      <c r="BK48" s="465"/>
      <c r="BL48" s="465"/>
      <c r="BM48" s="465"/>
      <c r="BN48" s="465"/>
    </row>
    <row r="49" spans="2:69" s="181" customFormat="1" ht="17.25" customHeight="1" x14ac:dyDescent="0.2">
      <c r="B49" s="454" t="s">
        <v>103</v>
      </c>
      <c r="C49" s="454"/>
      <c r="D49" s="454"/>
      <c r="E49" s="454"/>
      <c r="F49" s="464" t="s">
        <v>107</v>
      </c>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E49" s="464"/>
      <c r="AF49" s="464"/>
      <c r="AG49" s="464"/>
      <c r="AH49" s="464"/>
      <c r="AI49" s="464"/>
      <c r="AJ49" s="464"/>
      <c r="AK49" s="464"/>
      <c r="AL49" s="464"/>
      <c r="AM49" s="464"/>
      <c r="AN49" s="464"/>
      <c r="AO49" s="464"/>
      <c r="AP49" s="464"/>
      <c r="AQ49" s="464"/>
      <c r="AR49" s="464"/>
      <c r="AS49" s="464"/>
      <c r="AT49" s="464"/>
      <c r="AU49" s="464"/>
      <c r="AV49" s="464"/>
      <c r="AW49" s="464"/>
      <c r="AX49" s="464"/>
      <c r="AY49" s="464"/>
      <c r="AZ49" s="464"/>
      <c r="BA49" s="464"/>
      <c r="BB49" s="464"/>
      <c r="BC49" s="464"/>
      <c r="BD49" s="464"/>
      <c r="BE49" s="464"/>
      <c r="BF49" s="464"/>
      <c r="BG49" s="464"/>
      <c r="BH49" s="464"/>
      <c r="BI49" s="464"/>
      <c r="BJ49" s="464"/>
      <c r="BK49" s="464"/>
      <c r="BL49" s="464"/>
      <c r="BM49" s="464"/>
      <c r="BN49" s="464"/>
    </row>
    <row r="50" spans="2:69" ht="21" customHeight="1" x14ac:dyDescent="0.2">
      <c r="B50" s="88"/>
      <c r="C50" s="413" t="s">
        <v>235</v>
      </c>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c r="BB50" s="414"/>
      <c r="BC50" s="414"/>
      <c r="BD50" s="414"/>
      <c r="BE50" s="414"/>
      <c r="BF50" s="414"/>
      <c r="BG50" s="414"/>
      <c r="BH50" s="414"/>
      <c r="BI50" s="414"/>
      <c r="BJ50" s="414"/>
      <c r="BK50" s="414"/>
      <c r="BL50" s="414"/>
      <c r="BM50" s="414"/>
      <c r="BN50" s="415"/>
    </row>
    <row r="51" spans="2:69" ht="59.25" customHeight="1" x14ac:dyDescent="0.2">
      <c r="B51" s="184" t="s">
        <v>139</v>
      </c>
      <c r="C51" s="401" t="s">
        <v>94</v>
      </c>
      <c r="D51" s="402"/>
      <c r="E51" s="403"/>
      <c r="F51" s="185" t="s">
        <v>95</v>
      </c>
      <c r="G51" s="186" t="s">
        <v>4</v>
      </c>
      <c r="H51" s="187" t="s">
        <v>3</v>
      </c>
      <c r="I51" s="188" t="s">
        <v>96</v>
      </c>
      <c r="J51" s="207" t="s">
        <v>494</v>
      </c>
      <c r="K51" s="207" t="s">
        <v>495</v>
      </c>
      <c r="L51" s="207" t="s">
        <v>380</v>
      </c>
      <c r="M51" s="208" t="s">
        <v>381</v>
      </c>
      <c r="N51" s="207" t="s">
        <v>517</v>
      </c>
      <c r="O51" s="207" t="s">
        <v>518</v>
      </c>
      <c r="P51" s="207" t="s">
        <v>490</v>
      </c>
      <c r="Q51" s="208" t="s">
        <v>491</v>
      </c>
      <c r="R51" s="208" t="s">
        <v>492</v>
      </c>
      <c r="S51" s="208" t="s">
        <v>493</v>
      </c>
      <c r="T51" s="208" t="s">
        <v>519</v>
      </c>
      <c r="U51" s="208" t="s">
        <v>523</v>
      </c>
      <c r="V51" s="208" t="s">
        <v>525</v>
      </c>
      <c r="W51" s="208" t="s">
        <v>571</v>
      </c>
      <c r="X51" s="208" t="s">
        <v>538</v>
      </c>
      <c r="Y51" s="208" t="s">
        <v>553</v>
      </c>
      <c r="Z51" s="208" t="s">
        <v>554</v>
      </c>
      <c r="AA51" s="307" t="s">
        <v>581</v>
      </c>
      <c r="AB51" s="208" t="s">
        <v>570</v>
      </c>
      <c r="AC51" s="307" t="s">
        <v>564</v>
      </c>
      <c r="AD51" s="307" t="s">
        <v>582</v>
      </c>
      <c r="AE51" s="309" t="s">
        <v>578</v>
      </c>
      <c r="AF51" s="307" t="s">
        <v>635</v>
      </c>
      <c r="AG51" s="307" t="s">
        <v>590</v>
      </c>
      <c r="AH51" s="307" t="s">
        <v>606</v>
      </c>
      <c r="AI51" s="307" t="s">
        <v>636</v>
      </c>
      <c r="AJ51" s="307" t="s">
        <v>623</v>
      </c>
      <c r="AK51" s="307" t="s">
        <v>628</v>
      </c>
      <c r="AL51" s="307" t="s">
        <v>637</v>
      </c>
      <c r="AM51" s="307" t="s">
        <v>641</v>
      </c>
      <c r="AN51" s="307" t="s">
        <v>643</v>
      </c>
      <c r="AO51" s="307" t="s">
        <v>646</v>
      </c>
      <c r="AP51" s="307" t="s">
        <v>650</v>
      </c>
      <c r="AQ51" s="307" t="s">
        <v>689</v>
      </c>
      <c r="AR51" s="307" t="s">
        <v>697</v>
      </c>
      <c r="AS51" s="307" t="s">
        <v>725</v>
      </c>
      <c r="AT51" s="307" t="s">
        <v>729</v>
      </c>
      <c r="AU51" s="188" t="s">
        <v>150</v>
      </c>
      <c r="AV51" s="1" t="s">
        <v>5</v>
      </c>
      <c r="AW51" s="1" t="s">
        <v>6</v>
      </c>
      <c r="AX51" s="1" t="s">
        <v>7</v>
      </c>
      <c r="AY51" s="1" t="s">
        <v>8</v>
      </c>
      <c r="AZ51" s="34" t="s">
        <v>157</v>
      </c>
      <c r="BA51" s="2" t="s">
        <v>9</v>
      </c>
      <c r="BB51" s="2" t="s">
        <v>10</v>
      </c>
      <c r="BC51" s="2" t="s">
        <v>11</v>
      </c>
      <c r="BD51" s="2" t="s">
        <v>12</v>
      </c>
      <c r="BE51" s="34" t="s">
        <v>158</v>
      </c>
      <c r="BF51" s="2" t="s">
        <v>13</v>
      </c>
      <c r="BG51" s="2" t="s">
        <v>14</v>
      </c>
      <c r="BH51" s="2" t="s">
        <v>15</v>
      </c>
      <c r="BI51" s="2" t="s">
        <v>16</v>
      </c>
      <c r="BJ51" s="34" t="s">
        <v>159</v>
      </c>
      <c r="BK51" s="189" t="s">
        <v>97</v>
      </c>
      <c r="BL51" s="189" t="s">
        <v>98</v>
      </c>
      <c r="BM51" s="190" t="s">
        <v>248</v>
      </c>
      <c r="BN51" s="189" t="s">
        <v>99</v>
      </c>
    </row>
    <row r="52" spans="2:69" ht="54" customHeight="1" x14ac:dyDescent="0.2">
      <c r="B52" s="30">
        <v>2</v>
      </c>
      <c r="C52" s="470" t="s">
        <v>255</v>
      </c>
      <c r="D52" s="470"/>
      <c r="E52" s="470"/>
      <c r="F52" s="196"/>
      <c r="G52" s="58"/>
      <c r="H52" s="142" t="s">
        <v>23</v>
      </c>
      <c r="I52" s="10">
        <v>27500</v>
      </c>
      <c r="J52" s="10"/>
      <c r="K52" s="10"/>
      <c r="L52" s="10"/>
      <c r="M52" s="10" t="s">
        <v>394</v>
      </c>
      <c r="N52" s="10"/>
      <c r="O52" s="10"/>
      <c r="P52" s="10" t="s">
        <v>486</v>
      </c>
      <c r="Q52" s="10"/>
      <c r="R52" s="10"/>
      <c r="S52" s="10"/>
      <c r="T52" s="10"/>
      <c r="U52" s="10"/>
      <c r="V52" s="10"/>
      <c r="W52" s="310"/>
      <c r="X52" s="10"/>
      <c r="Y52" s="10"/>
      <c r="Z52" s="10"/>
      <c r="AA52" s="10"/>
      <c r="AB52" s="10"/>
      <c r="AC52" s="10"/>
      <c r="AD52" s="10"/>
      <c r="AE52" s="10"/>
      <c r="AF52" s="10"/>
      <c r="AG52" s="10"/>
      <c r="AH52" s="10"/>
      <c r="AI52" s="10" t="s">
        <v>618</v>
      </c>
      <c r="AJ52" s="10"/>
      <c r="AK52" s="10"/>
      <c r="AL52" s="10"/>
      <c r="AM52" s="10"/>
      <c r="AN52" s="10"/>
      <c r="AO52" s="10"/>
      <c r="AP52" s="10"/>
      <c r="AQ52" s="10"/>
      <c r="AR52" s="10"/>
      <c r="AS52" s="10"/>
      <c r="AT52" s="10"/>
      <c r="AU52" s="256">
        <v>46865</v>
      </c>
      <c r="AV52" s="67">
        <f>+AV53+AV54</f>
        <v>3179</v>
      </c>
      <c r="AW52" s="67">
        <f>+AW53+AW54</f>
        <v>3482</v>
      </c>
      <c r="AX52" s="67">
        <f>+AX53+AX54</f>
        <v>3014</v>
      </c>
      <c r="AY52" s="67">
        <f>+AY53+AY54</f>
        <v>2470</v>
      </c>
      <c r="AZ52" s="10">
        <f t="shared" ref="AZ52:AZ60" si="10">SUM(AV52:AY52)</f>
        <v>12145</v>
      </c>
      <c r="BA52" s="67">
        <f>+BA53+BA54</f>
        <v>3466</v>
      </c>
      <c r="BB52" s="67">
        <f>+BB53+BB54</f>
        <v>2838</v>
      </c>
      <c r="BC52" s="67">
        <f>+BC53+BC54</f>
        <v>3274</v>
      </c>
      <c r="BD52" s="67">
        <f>SUM(BD53:BD54)</f>
        <v>2891</v>
      </c>
      <c r="BE52" s="10">
        <f t="shared" ref="BE52:BE60" si="11">SUM(BA52+BB52+BC52+BD52)</f>
        <v>12469</v>
      </c>
      <c r="BF52" s="67">
        <f>SUM(BF53:BF54)</f>
        <v>4186</v>
      </c>
      <c r="BG52" s="108" t="s">
        <v>676</v>
      </c>
      <c r="BH52" s="108"/>
      <c r="BI52" s="67"/>
      <c r="BJ52" s="10">
        <f>SUM(BJ53:BJ54)</f>
        <v>8376</v>
      </c>
      <c r="BK52" s="10">
        <f>SUM(BK53:BK54)</f>
        <v>32990</v>
      </c>
      <c r="BL52" s="41">
        <f t="shared" ref="BL52:BL60" si="12">SUM(BK52/AU52)</f>
        <v>0.70393683985916999</v>
      </c>
      <c r="BM52" s="15">
        <v>13363591</v>
      </c>
      <c r="BN52" s="258" t="s">
        <v>660</v>
      </c>
      <c r="BO52" s="61">
        <f>909+709+709+400</f>
        <v>2727</v>
      </c>
    </row>
    <row r="53" spans="2:69" ht="62.25" customHeight="1" outlineLevel="1" x14ac:dyDescent="0.2">
      <c r="B53" s="48"/>
      <c r="C53" s="469"/>
      <c r="D53" s="469"/>
      <c r="E53" s="469"/>
      <c r="F53" s="64" t="s">
        <v>514</v>
      </c>
      <c r="G53" s="58"/>
      <c r="H53" s="142" t="s">
        <v>23</v>
      </c>
      <c r="I53" s="10">
        <v>4900</v>
      </c>
      <c r="J53" s="10"/>
      <c r="K53" s="10"/>
      <c r="L53" s="10"/>
      <c r="M53" s="10" t="s">
        <v>392</v>
      </c>
      <c r="N53" s="10"/>
      <c r="O53" s="10"/>
      <c r="P53" s="10" t="s">
        <v>484</v>
      </c>
      <c r="Q53" s="10"/>
      <c r="R53" s="10"/>
      <c r="S53" s="10"/>
      <c r="T53" s="10"/>
      <c r="U53" s="10"/>
      <c r="V53" s="10"/>
      <c r="W53" s="10"/>
      <c r="X53" s="10"/>
      <c r="Y53" s="10"/>
      <c r="Z53" s="10"/>
      <c r="AA53" s="10"/>
      <c r="AB53" s="10"/>
      <c r="AC53" s="10"/>
      <c r="AD53" s="10"/>
      <c r="AE53" s="10"/>
      <c r="AF53" s="10"/>
      <c r="AG53" s="10"/>
      <c r="AH53" s="10"/>
      <c r="AI53" s="10" t="s">
        <v>616</v>
      </c>
      <c r="AJ53" s="10"/>
      <c r="AK53" s="10"/>
      <c r="AL53" s="10"/>
      <c r="AM53" s="10"/>
      <c r="AN53" s="10" t="s">
        <v>644</v>
      </c>
      <c r="AO53" s="10" t="s">
        <v>647</v>
      </c>
      <c r="AP53" s="10"/>
      <c r="AQ53" s="10"/>
      <c r="AR53" s="10"/>
      <c r="AS53" s="10"/>
      <c r="AT53" s="10"/>
      <c r="AU53" s="252">
        <v>18031</v>
      </c>
      <c r="AV53" s="93">
        <v>435</v>
      </c>
      <c r="AW53" s="10">
        <v>540</v>
      </c>
      <c r="AX53" s="10">
        <v>438</v>
      </c>
      <c r="AY53" s="10">
        <v>447</v>
      </c>
      <c r="AZ53" s="10">
        <f t="shared" si="10"/>
        <v>1860</v>
      </c>
      <c r="BA53" s="10">
        <v>592</v>
      </c>
      <c r="BB53" s="10">
        <v>451</v>
      </c>
      <c r="BC53" s="10">
        <v>524</v>
      </c>
      <c r="BD53" s="10">
        <v>410</v>
      </c>
      <c r="BE53" s="10">
        <f t="shared" si="11"/>
        <v>1977</v>
      </c>
      <c r="BF53" s="10">
        <v>541</v>
      </c>
      <c r="BG53" s="10">
        <v>1018</v>
      </c>
      <c r="BH53" s="108"/>
      <c r="BI53" s="10"/>
      <c r="BJ53" s="10">
        <f>SUM(BF53:BI53)</f>
        <v>1559</v>
      </c>
      <c r="BK53" s="10">
        <f>SUM(AZ53+BE53+BJ53)</f>
        <v>5396</v>
      </c>
      <c r="BL53" s="41">
        <f t="shared" si="12"/>
        <v>0.29926238145416229</v>
      </c>
      <c r="BM53" s="53"/>
      <c r="BN53" s="53"/>
      <c r="BO53" s="61">
        <f>443+343+343+200</f>
        <v>1329</v>
      </c>
      <c r="BQ53" s="223"/>
    </row>
    <row r="54" spans="2:69" ht="57.75" customHeight="1" outlineLevel="1" x14ac:dyDescent="0.2">
      <c r="B54" s="48"/>
      <c r="D54" s="175"/>
      <c r="E54" s="176"/>
      <c r="F54" s="64" t="s">
        <v>515</v>
      </c>
      <c r="G54" s="58"/>
      <c r="H54" s="142" t="s">
        <v>23</v>
      </c>
      <c r="I54" s="10">
        <v>22600</v>
      </c>
      <c r="J54" s="10"/>
      <c r="K54" s="10"/>
      <c r="L54" s="10"/>
      <c r="M54" s="10" t="s">
        <v>393</v>
      </c>
      <c r="N54" s="10"/>
      <c r="O54" s="10"/>
      <c r="P54" s="10" t="s">
        <v>485</v>
      </c>
      <c r="Q54" s="10"/>
      <c r="R54" s="10"/>
      <c r="S54" s="10"/>
      <c r="T54" s="10"/>
      <c r="U54" s="10"/>
      <c r="V54" s="10"/>
      <c r="W54" s="10"/>
      <c r="X54" s="10"/>
      <c r="Y54" s="10"/>
      <c r="Z54" s="10"/>
      <c r="AA54" s="10"/>
      <c r="AB54" s="10"/>
      <c r="AC54" s="10"/>
      <c r="AD54" s="10"/>
      <c r="AE54" s="10"/>
      <c r="AF54" s="10"/>
      <c r="AG54" s="10"/>
      <c r="AH54" s="10"/>
      <c r="AI54" s="10" t="s">
        <v>617</v>
      </c>
      <c r="AJ54" s="10"/>
      <c r="AK54" s="10"/>
      <c r="AL54" s="10"/>
      <c r="AM54" s="10"/>
      <c r="AN54" s="10" t="s">
        <v>645</v>
      </c>
      <c r="AO54" s="10" t="s">
        <v>648</v>
      </c>
      <c r="AP54" s="10"/>
      <c r="AQ54" s="10"/>
      <c r="AR54" s="10"/>
      <c r="AS54" s="10"/>
      <c r="AT54" s="10"/>
      <c r="AU54" s="252">
        <v>28834</v>
      </c>
      <c r="AV54" s="93">
        <v>2744</v>
      </c>
      <c r="AW54" s="10">
        <v>2942</v>
      </c>
      <c r="AX54" s="10">
        <v>2576</v>
      </c>
      <c r="AY54" s="10">
        <v>2023</v>
      </c>
      <c r="AZ54" s="10">
        <f t="shared" si="10"/>
        <v>10285</v>
      </c>
      <c r="BA54" s="10">
        <v>2874</v>
      </c>
      <c r="BB54" s="10">
        <v>2387</v>
      </c>
      <c r="BC54" s="10">
        <v>2750</v>
      </c>
      <c r="BD54" s="10">
        <v>2481</v>
      </c>
      <c r="BE54" s="10">
        <f t="shared" si="11"/>
        <v>10492</v>
      </c>
      <c r="BF54" s="10">
        <v>3645</v>
      </c>
      <c r="BG54" s="108" t="s">
        <v>677</v>
      </c>
      <c r="BH54" s="108"/>
      <c r="BI54" s="10"/>
      <c r="BJ54" s="10">
        <f t="shared" ref="BJ54:BJ60" si="13">+BF54+BG54+BH54+BI54</f>
        <v>6817</v>
      </c>
      <c r="BK54" s="10">
        <f t="shared" ref="BK54" si="14">SUM(AZ54+BE54+BJ54)</f>
        <v>27594</v>
      </c>
      <c r="BL54" s="41">
        <f t="shared" si="12"/>
        <v>0.95699521398349174</v>
      </c>
      <c r="BM54" s="53"/>
      <c r="BN54" s="53"/>
      <c r="BO54" s="61">
        <f>466+366+366+200</f>
        <v>1398</v>
      </c>
    </row>
    <row r="55" spans="2:69" ht="32.25" customHeight="1" x14ac:dyDescent="0.2">
      <c r="B55" s="48"/>
      <c r="C55" s="471"/>
      <c r="D55" s="472"/>
      <c r="E55" s="473"/>
      <c r="F55" s="351"/>
      <c r="G55" s="16" t="s">
        <v>249</v>
      </c>
      <c r="H55" s="8" t="s">
        <v>29</v>
      </c>
      <c r="I55" s="65">
        <v>6700</v>
      </c>
      <c r="J55" s="65"/>
      <c r="K55" s="65"/>
      <c r="L55" s="65"/>
      <c r="M55" s="10" t="s">
        <v>395</v>
      </c>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254">
        <v>8500</v>
      </c>
      <c r="AV55" s="65">
        <v>1043</v>
      </c>
      <c r="AW55" s="6">
        <v>926</v>
      </c>
      <c r="AX55" s="6">
        <v>967</v>
      </c>
      <c r="AY55" s="6">
        <v>595</v>
      </c>
      <c r="AZ55" s="65">
        <f t="shared" si="10"/>
        <v>3531</v>
      </c>
      <c r="BA55" s="65">
        <v>1071</v>
      </c>
      <c r="BB55" s="65">
        <v>781</v>
      </c>
      <c r="BC55" s="65">
        <v>987</v>
      </c>
      <c r="BD55" s="65">
        <v>1146</v>
      </c>
      <c r="BE55" s="65">
        <f t="shared" si="11"/>
        <v>3985</v>
      </c>
      <c r="BF55" s="65">
        <v>1447</v>
      </c>
      <c r="BG55" s="65">
        <v>1145</v>
      </c>
      <c r="BH55" s="65"/>
      <c r="BI55" s="65"/>
      <c r="BJ55" s="65">
        <f t="shared" si="13"/>
        <v>2592</v>
      </c>
      <c r="BK55" s="65">
        <v>8500</v>
      </c>
      <c r="BL55" s="299">
        <f t="shared" si="12"/>
        <v>1</v>
      </c>
      <c r="BM55" s="17"/>
      <c r="BN55" s="17"/>
    </row>
    <row r="56" spans="2:69" ht="21" customHeight="1" x14ac:dyDescent="0.2">
      <c r="B56" s="48"/>
      <c r="C56" s="469"/>
      <c r="D56" s="469"/>
      <c r="E56" s="469"/>
      <c r="F56" s="64"/>
      <c r="G56" s="16" t="s">
        <v>250</v>
      </c>
      <c r="H56" s="8" t="s">
        <v>29</v>
      </c>
      <c r="I56" s="65">
        <v>32500</v>
      </c>
      <c r="J56" s="65"/>
      <c r="K56" s="65"/>
      <c r="L56" s="65"/>
      <c r="M56" s="10" t="s">
        <v>396</v>
      </c>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257">
        <v>54500</v>
      </c>
      <c r="AV56" s="127">
        <v>4786</v>
      </c>
      <c r="AW56" s="66">
        <v>4289</v>
      </c>
      <c r="AX56" s="66">
        <v>4794</v>
      </c>
      <c r="AY56" s="66">
        <v>4027</v>
      </c>
      <c r="AZ56" s="65">
        <f t="shared" si="10"/>
        <v>17896</v>
      </c>
      <c r="BA56" s="65">
        <v>4396</v>
      </c>
      <c r="BB56" s="65">
        <v>3994</v>
      </c>
      <c r="BC56" s="65">
        <v>5195</v>
      </c>
      <c r="BD56" s="65">
        <v>4565</v>
      </c>
      <c r="BE56" s="65">
        <f t="shared" si="11"/>
        <v>18150</v>
      </c>
      <c r="BF56" s="65">
        <v>5024</v>
      </c>
      <c r="BG56" s="65">
        <v>5271</v>
      </c>
      <c r="BH56" s="6"/>
      <c r="BI56" s="65"/>
      <c r="BJ56" s="65">
        <f t="shared" si="13"/>
        <v>10295</v>
      </c>
      <c r="BK56" s="65">
        <f t="shared" ref="BK56:BK60" si="15">SUM(AZ56+BE56+BJ56)</f>
        <v>46341</v>
      </c>
      <c r="BL56" s="63">
        <f t="shared" si="12"/>
        <v>0.85029357798165139</v>
      </c>
      <c r="BM56" s="17"/>
      <c r="BN56" s="17"/>
      <c r="BP56" s="227"/>
    </row>
    <row r="57" spans="2:69" ht="31.5" customHeight="1" x14ac:dyDescent="0.2">
      <c r="B57" s="48"/>
      <c r="C57" s="471"/>
      <c r="D57" s="472"/>
      <c r="E57" s="473"/>
      <c r="F57" s="116"/>
      <c r="G57" s="16" t="s">
        <v>251</v>
      </c>
      <c r="H57" s="8" t="s">
        <v>29</v>
      </c>
      <c r="I57" s="65">
        <v>7900</v>
      </c>
      <c r="J57" s="65"/>
      <c r="K57" s="65"/>
      <c r="L57" s="65"/>
      <c r="M57" s="10" t="s">
        <v>397</v>
      </c>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254">
        <v>9900</v>
      </c>
      <c r="AV57" s="65">
        <v>1069</v>
      </c>
      <c r="AW57" s="6">
        <v>963</v>
      </c>
      <c r="AX57" s="6">
        <v>952</v>
      </c>
      <c r="AY57" s="6">
        <v>815</v>
      </c>
      <c r="AZ57" s="65">
        <f t="shared" si="10"/>
        <v>3799</v>
      </c>
      <c r="BA57" s="65">
        <v>1100</v>
      </c>
      <c r="BB57" s="65">
        <v>891</v>
      </c>
      <c r="BC57" s="65">
        <v>1195</v>
      </c>
      <c r="BD57" s="65">
        <v>1256</v>
      </c>
      <c r="BE57" s="65">
        <f t="shared" si="11"/>
        <v>4442</v>
      </c>
      <c r="BF57" s="65">
        <v>1433</v>
      </c>
      <c r="BG57" s="65">
        <v>1282</v>
      </c>
      <c r="BH57" s="6"/>
      <c r="BI57" s="65"/>
      <c r="BJ57" s="65">
        <f t="shared" si="13"/>
        <v>2715</v>
      </c>
      <c r="BK57" s="65">
        <v>9900</v>
      </c>
      <c r="BL57" s="299">
        <f t="shared" si="12"/>
        <v>1</v>
      </c>
      <c r="BM57" s="17"/>
      <c r="BN57" s="17"/>
    </row>
    <row r="58" spans="2:69" ht="29.25" customHeight="1" x14ac:dyDescent="0.2">
      <c r="B58" s="48"/>
      <c r="C58" s="471"/>
      <c r="D58" s="472"/>
      <c r="E58" s="473"/>
      <c r="F58" s="116"/>
      <c r="G58" s="16" t="s">
        <v>252</v>
      </c>
      <c r="H58" s="8" t="s">
        <v>29</v>
      </c>
      <c r="I58" s="65">
        <v>800</v>
      </c>
      <c r="J58" s="65"/>
      <c r="K58" s="65"/>
      <c r="L58" s="65"/>
      <c r="M58" s="10" t="s">
        <v>398</v>
      </c>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254">
        <v>1500</v>
      </c>
      <c r="AV58" s="6">
        <v>145</v>
      </c>
      <c r="AW58" s="6">
        <v>223</v>
      </c>
      <c r="AX58" s="6">
        <v>222</v>
      </c>
      <c r="AY58" s="6">
        <v>143</v>
      </c>
      <c r="AZ58" s="65">
        <f t="shared" si="10"/>
        <v>733</v>
      </c>
      <c r="BA58" s="65">
        <v>194</v>
      </c>
      <c r="BB58" s="65">
        <v>202</v>
      </c>
      <c r="BC58" s="65">
        <v>418</v>
      </c>
      <c r="BD58" s="65">
        <v>381</v>
      </c>
      <c r="BE58" s="65">
        <f t="shared" si="11"/>
        <v>1195</v>
      </c>
      <c r="BF58" s="65">
        <v>306</v>
      </c>
      <c r="BG58" s="65">
        <v>165</v>
      </c>
      <c r="BH58" s="6"/>
      <c r="BI58" s="65"/>
      <c r="BJ58" s="65">
        <f t="shared" si="13"/>
        <v>471</v>
      </c>
      <c r="BK58" s="65">
        <v>1500</v>
      </c>
      <c r="BL58" s="299">
        <f t="shared" si="12"/>
        <v>1</v>
      </c>
      <c r="BM58" s="17"/>
      <c r="BN58" s="132"/>
      <c r="BQ58" s="227"/>
    </row>
    <row r="59" spans="2:69" ht="41.25" customHeight="1" x14ac:dyDescent="0.2">
      <c r="B59" s="48"/>
      <c r="C59" s="174"/>
      <c r="D59" s="175"/>
      <c r="E59" s="176"/>
      <c r="F59" s="116"/>
      <c r="G59" s="16" t="s">
        <v>253</v>
      </c>
      <c r="H59" s="8" t="s">
        <v>29</v>
      </c>
      <c r="I59" s="65">
        <v>10100</v>
      </c>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v>10100</v>
      </c>
      <c r="AV59" s="65">
        <v>1447</v>
      </c>
      <c r="AW59" s="6">
        <v>1254</v>
      </c>
      <c r="AX59" s="65">
        <v>1315</v>
      </c>
      <c r="AY59" s="6">
        <v>892</v>
      </c>
      <c r="AZ59" s="65">
        <f t="shared" si="10"/>
        <v>4908</v>
      </c>
      <c r="BA59" s="65">
        <v>1257</v>
      </c>
      <c r="BB59" s="65">
        <v>1275</v>
      </c>
      <c r="BC59" s="65">
        <v>1766</v>
      </c>
      <c r="BD59" s="65">
        <v>1873</v>
      </c>
      <c r="BE59" s="65">
        <f t="shared" si="11"/>
        <v>6171</v>
      </c>
      <c r="BF59" s="65">
        <v>2016</v>
      </c>
      <c r="BG59" s="65">
        <v>1470</v>
      </c>
      <c r="BH59" s="6"/>
      <c r="BI59" s="65"/>
      <c r="BJ59" s="65">
        <f t="shared" si="13"/>
        <v>3486</v>
      </c>
      <c r="BK59" s="65">
        <v>10100</v>
      </c>
      <c r="BL59" s="299">
        <f t="shared" si="12"/>
        <v>1</v>
      </c>
      <c r="BM59" s="17"/>
      <c r="BN59" s="17"/>
      <c r="BQ59" s="227"/>
    </row>
    <row r="60" spans="2:69" ht="29.25" customHeight="1" x14ac:dyDescent="0.2">
      <c r="B60" s="48"/>
      <c r="C60" s="469"/>
      <c r="D60" s="469"/>
      <c r="E60" s="469"/>
      <c r="F60" s="64"/>
      <c r="G60" s="16" t="s">
        <v>254</v>
      </c>
      <c r="H60" s="8" t="s">
        <v>28</v>
      </c>
      <c r="I60" s="65">
        <v>105</v>
      </c>
      <c r="J60" s="65"/>
      <c r="K60" s="65"/>
      <c r="L60" s="65"/>
      <c r="M60" s="65" t="s">
        <v>399</v>
      </c>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254">
        <v>120</v>
      </c>
      <c r="AV60" s="6">
        <v>1</v>
      </c>
      <c r="AW60" s="6">
        <v>6</v>
      </c>
      <c r="AX60" s="6">
        <v>8</v>
      </c>
      <c r="AY60" s="6">
        <v>16</v>
      </c>
      <c r="AZ60" s="65">
        <f t="shared" si="10"/>
        <v>31</v>
      </c>
      <c r="BA60" s="65">
        <v>15</v>
      </c>
      <c r="BB60" s="65">
        <v>10</v>
      </c>
      <c r="BC60" s="65">
        <v>15</v>
      </c>
      <c r="BD60" s="65">
        <v>14</v>
      </c>
      <c r="BE60" s="65">
        <f t="shared" si="11"/>
        <v>54</v>
      </c>
      <c r="BF60" s="65">
        <v>13</v>
      </c>
      <c r="BG60" s="65">
        <v>19</v>
      </c>
      <c r="BH60" s="6"/>
      <c r="BI60" s="6"/>
      <c r="BJ60" s="65">
        <f t="shared" si="13"/>
        <v>32</v>
      </c>
      <c r="BK60" s="65">
        <f t="shared" si="15"/>
        <v>117</v>
      </c>
      <c r="BL60" s="63">
        <f t="shared" si="12"/>
        <v>0.97499999999999998</v>
      </c>
      <c r="BM60" s="17"/>
      <c r="BN60" s="17"/>
      <c r="BP60" s="223"/>
    </row>
    <row r="61" spans="2:69" s="181" customFormat="1" ht="18.75" customHeight="1" x14ac:dyDescent="0.2">
      <c r="B61" s="429" t="s">
        <v>152</v>
      </c>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c r="AL61" s="430"/>
      <c r="AM61" s="430"/>
      <c r="AN61" s="430"/>
      <c r="AO61" s="430"/>
      <c r="AP61" s="430"/>
      <c r="AQ61" s="430"/>
      <c r="AR61" s="430"/>
      <c r="AS61" s="430"/>
      <c r="AT61" s="430"/>
      <c r="AU61" s="430"/>
      <c r="AV61" s="430"/>
      <c r="AW61" s="430"/>
      <c r="AX61" s="430"/>
      <c r="AY61" s="430"/>
      <c r="AZ61" s="430"/>
      <c r="BA61" s="430"/>
      <c r="BB61" s="430"/>
      <c r="BC61" s="430"/>
      <c r="BD61" s="430"/>
      <c r="BE61" s="430"/>
      <c r="BF61" s="430"/>
      <c r="BG61" s="430"/>
      <c r="BH61" s="430"/>
      <c r="BI61" s="430"/>
      <c r="BJ61" s="430"/>
      <c r="BK61" s="430"/>
      <c r="BL61" s="430"/>
      <c r="BM61" s="430"/>
      <c r="BN61" s="213"/>
    </row>
    <row r="62" spans="2:69" s="181" customFormat="1" ht="29.25" customHeight="1" x14ac:dyDescent="0.2">
      <c r="B62" s="454" t="s">
        <v>102</v>
      </c>
      <c r="C62" s="454"/>
      <c r="D62" s="454"/>
      <c r="E62" s="454"/>
      <c r="F62" s="474" t="s">
        <v>151</v>
      </c>
      <c r="G62" s="475"/>
      <c r="H62" s="475"/>
      <c r="I62" s="475"/>
      <c r="J62" s="475"/>
      <c r="K62" s="475"/>
      <c r="L62" s="475"/>
      <c r="M62" s="475"/>
      <c r="N62" s="475"/>
      <c r="O62" s="475"/>
      <c r="P62" s="475"/>
      <c r="Q62" s="475"/>
      <c r="R62" s="475"/>
      <c r="S62" s="475"/>
      <c r="T62" s="475"/>
      <c r="U62" s="475"/>
      <c r="V62" s="475"/>
      <c r="W62" s="475"/>
      <c r="X62" s="475"/>
      <c r="Y62" s="475"/>
      <c r="Z62" s="475"/>
      <c r="AA62" s="475"/>
      <c r="AB62" s="475"/>
      <c r="AC62" s="475"/>
      <c r="AD62" s="475"/>
      <c r="AE62" s="475"/>
      <c r="AF62" s="475"/>
      <c r="AG62" s="475"/>
      <c r="AH62" s="475"/>
      <c r="AI62" s="475"/>
      <c r="AJ62" s="475"/>
      <c r="AK62" s="475"/>
      <c r="AL62" s="475"/>
      <c r="AM62" s="475"/>
      <c r="AN62" s="475"/>
      <c r="AO62" s="475"/>
      <c r="AP62" s="475"/>
      <c r="AQ62" s="475"/>
      <c r="AR62" s="475"/>
      <c r="AS62" s="475"/>
      <c r="AT62" s="475"/>
      <c r="AU62" s="475"/>
      <c r="AV62" s="475"/>
      <c r="AW62" s="475"/>
      <c r="AX62" s="475"/>
      <c r="AY62" s="475"/>
      <c r="AZ62" s="475"/>
      <c r="BA62" s="475"/>
      <c r="BB62" s="475"/>
      <c r="BC62" s="475"/>
      <c r="BD62" s="475"/>
      <c r="BE62" s="475"/>
      <c r="BF62" s="475"/>
      <c r="BG62" s="475"/>
      <c r="BH62" s="475"/>
      <c r="BI62" s="475"/>
      <c r="BJ62" s="475"/>
      <c r="BK62" s="475"/>
      <c r="BL62" s="475"/>
      <c r="BM62" s="475"/>
      <c r="BN62" s="476"/>
    </row>
    <row r="63" spans="2:69" s="181" customFormat="1" ht="16.5" customHeight="1" x14ac:dyDescent="0.2">
      <c r="B63" s="454" t="s">
        <v>103</v>
      </c>
      <c r="C63" s="454"/>
      <c r="D63" s="454"/>
      <c r="E63" s="454"/>
      <c r="F63" s="477" t="s">
        <v>108</v>
      </c>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8"/>
      <c r="AE63" s="478"/>
      <c r="AF63" s="478"/>
      <c r="AG63" s="478"/>
      <c r="AH63" s="478"/>
      <c r="AI63" s="478"/>
      <c r="AJ63" s="478"/>
      <c r="AK63" s="478"/>
      <c r="AL63" s="478"/>
      <c r="AM63" s="478"/>
      <c r="AN63" s="478"/>
      <c r="AO63" s="478"/>
      <c r="AP63" s="478"/>
      <c r="AQ63" s="478"/>
      <c r="AR63" s="478"/>
      <c r="AS63" s="478"/>
      <c r="AT63" s="478"/>
      <c r="AU63" s="478"/>
      <c r="AV63" s="478"/>
      <c r="AW63" s="478"/>
      <c r="AX63" s="478"/>
      <c r="AY63" s="478"/>
      <c r="AZ63" s="478"/>
      <c r="BA63" s="478"/>
      <c r="BB63" s="478"/>
      <c r="BC63" s="478"/>
      <c r="BD63" s="478"/>
      <c r="BE63" s="478"/>
      <c r="BF63" s="478"/>
      <c r="BG63" s="478"/>
      <c r="BH63" s="478"/>
      <c r="BI63" s="478"/>
      <c r="BJ63" s="478"/>
      <c r="BK63" s="478"/>
      <c r="BL63" s="478"/>
      <c r="BM63" s="478"/>
      <c r="BN63" s="479"/>
    </row>
    <row r="64" spans="2:69" ht="21" customHeight="1" x14ac:dyDescent="0.2">
      <c r="B64" s="88"/>
      <c r="C64" s="413" t="s">
        <v>235</v>
      </c>
      <c r="D64" s="414"/>
      <c r="E64" s="414"/>
      <c r="F64" s="414"/>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4"/>
      <c r="BC64" s="414"/>
      <c r="BD64" s="414"/>
      <c r="BE64" s="414"/>
      <c r="BF64" s="414"/>
      <c r="BG64" s="414"/>
      <c r="BH64" s="414"/>
      <c r="BI64" s="414"/>
      <c r="BJ64" s="414"/>
      <c r="BK64" s="414"/>
      <c r="BL64" s="414"/>
      <c r="BM64" s="414"/>
      <c r="BN64" s="415"/>
    </row>
    <row r="65" spans="2:67" ht="51" customHeight="1" x14ac:dyDescent="0.2">
      <c r="B65" s="184" t="s">
        <v>139</v>
      </c>
      <c r="C65" s="382" t="s">
        <v>94</v>
      </c>
      <c r="D65" s="383"/>
      <c r="E65" s="384"/>
      <c r="F65" s="185" t="s">
        <v>95</v>
      </c>
      <c r="G65" s="188" t="s">
        <v>4</v>
      </c>
      <c r="H65" s="186" t="s">
        <v>3</v>
      </c>
      <c r="I65" s="186" t="s">
        <v>96</v>
      </c>
      <c r="J65" s="289" t="s">
        <v>494</v>
      </c>
      <c r="K65" s="289" t="s">
        <v>495</v>
      </c>
      <c r="L65" s="289" t="s">
        <v>380</v>
      </c>
      <c r="M65" s="210" t="s">
        <v>381</v>
      </c>
      <c r="N65" s="289" t="s">
        <v>517</v>
      </c>
      <c r="O65" s="289" t="s">
        <v>518</v>
      </c>
      <c r="P65" s="289" t="s">
        <v>490</v>
      </c>
      <c r="Q65" s="210" t="s">
        <v>491</v>
      </c>
      <c r="R65" s="210" t="s">
        <v>492</v>
      </c>
      <c r="S65" s="210" t="s">
        <v>493</v>
      </c>
      <c r="T65" s="210" t="s">
        <v>519</v>
      </c>
      <c r="U65" s="210" t="s">
        <v>523</v>
      </c>
      <c r="V65" s="210" t="s">
        <v>525</v>
      </c>
      <c r="W65" s="208" t="s">
        <v>571</v>
      </c>
      <c r="X65" s="210" t="s">
        <v>538</v>
      </c>
      <c r="Y65" s="208" t="s">
        <v>553</v>
      </c>
      <c r="Z65" s="208" t="s">
        <v>554</v>
      </c>
      <c r="AA65" s="307" t="s">
        <v>581</v>
      </c>
      <c r="AB65" s="208" t="s">
        <v>570</v>
      </c>
      <c r="AC65" s="307" t="s">
        <v>564</v>
      </c>
      <c r="AD65" s="307" t="s">
        <v>582</v>
      </c>
      <c r="AE65" s="309" t="s">
        <v>578</v>
      </c>
      <c r="AF65" s="307" t="s">
        <v>635</v>
      </c>
      <c r="AG65" s="307" t="s">
        <v>590</v>
      </c>
      <c r="AH65" s="307" t="s">
        <v>606</v>
      </c>
      <c r="AI65" s="307" t="s">
        <v>636</v>
      </c>
      <c r="AJ65" s="307" t="s">
        <v>623</v>
      </c>
      <c r="AK65" s="307" t="s">
        <v>628</v>
      </c>
      <c r="AL65" s="307" t="s">
        <v>637</v>
      </c>
      <c r="AM65" s="307" t="s">
        <v>641</v>
      </c>
      <c r="AN65" s="307" t="s">
        <v>643</v>
      </c>
      <c r="AO65" s="307" t="s">
        <v>646</v>
      </c>
      <c r="AP65" s="307" t="s">
        <v>650</v>
      </c>
      <c r="AQ65" s="307" t="s">
        <v>689</v>
      </c>
      <c r="AR65" s="307" t="s">
        <v>697</v>
      </c>
      <c r="AS65" s="307" t="s">
        <v>725</v>
      </c>
      <c r="AT65" s="307" t="s">
        <v>729</v>
      </c>
      <c r="AU65" s="188" t="s">
        <v>150</v>
      </c>
      <c r="AV65" s="83" t="s">
        <v>5</v>
      </c>
      <c r="AW65" s="83" t="s">
        <v>6</v>
      </c>
      <c r="AX65" s="83" t="s">
        <v>7</v>
      </c>
      <c r="AY65" s="83" t="s">
        <v>8</v>
      </c>
      <c r="AZ65" s="84" t="s">
        <v>157</v>
      </c>
      <c r="BA65" s="85" t="s">
        <v>9</v>
      </c>
      <c r="BB65" s="85" t="s">
        <v>10</v>
      </c>
      <c r="BC65" s="85" t="s">
        <v>11</v>
      </c>
      <c r="BD65" s="85" t="s">
        <v>12</v>
      </c>
      <c r="BE65" s="84" t="s">
        <v>158</v>
      </c>
      <c r="BF65" s="85" t="s">
        <v>13</v>
      </c>
      <c r="BG65" s="85" t="s">
        <v>14</v>
      </c>
      <c r="BH65" s="85" t="s">
        <v>15</v>
      </c>
      <c r="BI65" s="85" t="s">
        <v>16</v>
      </c>
      <c r="BJ65" s="84" t="s">
        <v>159</v>
      </c>
      <c r="BK65" s="244" t="s">
        <v>97</v>
      </c>
      <c r="BL65" s="244" t="s">
        <v>98</v>
      </c>
      <c r="BM65" s="245" t="s">
        <v>256</v>
      </c>
      <c r="BN65" s="244" t="s">
        <v>99</v>
      </c>
    </row>
    <row r="66" spans="2:67" ht="81" customHeight="1" x14ac:dyDescent="0.2">
      <c r="B66" s="30">
        <v>3</v>
      </c>
      <c r="C66" s="470" t="s">
        <v>257</v>
      </c>
      <c r="D66" s="470"/>
      <c r="E66" s="470"/>
      <c r="F66" s="197"/>
      <c r="G66" s="59"/>
      <c r="H66" s="8" t="s">
        <v>23</v>
      </c>
      <c r="I66" s="67">
        <f>+I67+I92</f>
        <v>219408</v>
      </c>
      <c r="J66" s="67" t="s">
        <v>354</v>
      </c>
      <c r="K66" s="67"/>
      <c r="L66" s="67"/>
      <c r="M66" s="67">
        <f>58013+8897</f>
        <v>66910</v>
      </c>
      <c r="N66" s="67"/>
      <c r="O66" s="10" t="s">
        <v>466</v>
      </c>
      <c r="P66" s="48"/>
      <c r="Q66" s="48"/>
      <c r="R66" s="48"/>
      <c r="S66" s="48"/>
      <c r="T66" s="48"/>
      <c r="U66" s="48"/>
      <c r="V66" s="48"/>
      <c r="W66" s="137" t="s">
        <v>540</v>
      </c>
      <c r="X66" s="48"/>
      <c r="Y66" s="67"/>
      <c r="Z66" s="67"/>
      <c r="AA66" s="67"/>
      <c r="AB66" s="67"/>
      <c r="AC66" s="67"/>
      <c r="AD66" s="67"/>
      <c r="AE66" s="67"/>
      <c r="AF66" s="67"/>
      <c r="AG66" s="67"/>
      <c r="AH66" s="67"/>
      <c r="AI66" s="67"/>
      <c r="AJ66" s="67"/>
      <c r="AK66" s="67"/>
      <c r="AL66" s="67"/>
      <c r="AM66" s="67"/>
      <c r="AN66" s="67"/>
      <c r="AO66" s="67"/>
      <c r="AP66" s="67"/>
      <c r="AQ66" s="67"/>
      <c r="AR66" s="67"/>
      <c r="AS66" s="67"/>
      <c r="AT66" s="67"/>
      <c r="AU66" s="234">
        <v>239075</v>
      </c>
      <c r="AV66" s="67">
        <f>+AV67+AV92</f>
        <v>20444</v>
      </c>
      <c r="AW66" s="67">
        <f>+AW67+AW92</f>
        <v>19739</v>
      </c>
      <c r="AX66" s="67">
        <f>+AX67+AX92</f>
        <v>21146</v>
      </c>
      <c r="AY66" s="67">
        <f>+AY67+AY92</f>
        <v>16499</v>
      </c>
      <c r="AZ66" s="67">
        <f>+AV66+AW66+AX66+AY66</f>
        <v>77828</v>
      </c>
      <c r="BA66" s="67">
        <v>20884</v>
      </c>
      <c r="BB66" s="67">
        <f>+BB67+BB92</f>
        <v>17979</v>
      </c>
      <c r="BC66" s="67">
        <v>20109</v>
      </c>
      <c r="BD66" s="67">
        <f>+BD67+BD92</f>
        <v>20692</v>
      </c>
      <c r="BE66" s="67">
        <f>SUM(BA66:BD66)</f>
        <v>79664</v>
      </c>
      <c r="BF66" s="67">
        <f>SUM(BF67+BF92)</f>
        <v>21037</v>
      </c>
      <c r="BG66" s="67">
        <f>SUM(BG67+BG92)</f>
        <v>22193</v>
      </c>
      <c r="BH66" s="67"/>
      <c r="BI66" s="67"/>
      <c r="BJ66" s="10">
        <f t="shared" ref="BJ66:BJ71" si="16">SUM(BF66:BI66)</f>
        <v>43230</v>
      </c>
      <c r="BK66" s="67">
        <f>SUM(BK67+BK92)</f>
        <v>200722</v>
      </c>
      <c r="BL66" s="41">
        <f t="shared" ref="BL66:BL86" si="17">SUM(BK66/AU66)</f>
        <v>0.83957753842936322</v>
      </c>
      <c r="BM66" s="3">
        <f>+BM67+BM92</f>
        <v>63613403</v>
      </c>
      <c r="BN66" s="236" t="s">
        <v>713</v>
      </c>
      <c r="BO66" s="61">
        <f>SUM(BO67:BO69)</f>
        <v>17298</v>
      </c>
    </row>
    <row r="67" spans="2:67" ht="81" customHeight="1" x14ac:dyDescent="0.2">
      <c r="B67" s="48"/>
      <c r="C67" s="469"/>
      <c r="D67" s="469"/>
      <c r="E67" s="469"/>
      <c r="F67" s="64" t="s">
        <v>258</v>
      </c>
      <c r="G67" s="59"/>
      <c r="H67" s="8" t="s">
        <v>23</v>
      </c>
      <c r="I67" s="10">
        <v>192708</v>
      </c>
      <c r="J67" s="10" t="s">
        <v>352</v>
      </c>
      <c r="K67" s="10"/>
      <c r="L67" s="10"/>
      <c r="M67" s="10" t="s">
        <v>403</v>
      </c>
      <c r="N67" s="10"/>
      <c r="O67" s="10" t="s">
        <v>466</v>
      </c>
      <c r="P67" s="48"/>
      <c r="Q67" s="48"/>
      <c r="R67" s="48"/>
      <c r="S67" s="48"/>
      <c r="T67" s="48"/>
      <c r="U67" s="48"/>
      <c r="V67" s="48"/>
      <c r="W67" s="137" t="s">
        <v>540</v>
      </c>
      <c r="X67" s="48"/>
      <c r="Y67" s="67"/>
      <c r="Z67" s="67"/>
      <c r="AA67" s="67"/>
      <c r="AB67" s="67"/>
      <c r="AC67" s="67"/>
      <c r="AD67" s="67"/>
      <c r="AE67" s="67"/>
      <c r="AF67" s="67"/>
      <c r="AG67" s="67"/>
      <c r="AH67" s="67"/>
      <c r="AI67" s="67"/>
      <c r="AJ67" s="67"/>
      <c r="AK67" s="67"/>
      <c r="AL67" s="67"/>
      <c r="AM67" s="67"/>
      <c r="AN67" s="67"/>
      <c r="AO67" s="67"/>
      <c r="AP67" s="67"/>
      <c r="AQ67" s="67"/>
      <c r="AR67" s="67"/>
      <c r="AS67" s="67"/>
      <c r="AT67" s="67"/>
      <c r="AU67" s="234">
        <v>206119</v>
      </c>
      <c r="AV67" s="10">
        <v>18098</v>
      </c>
      <c r="AW67" s="10">
        <v>16714</v>
      </c>
      <c r="AX67" s="10">
        <f>+AX68+AX69+AX70</f>
        <v>17849</v>
      </c>
      <c r="AY67" s="10">
        <v>14249</v>
      </c>
      <c r="AZ67" s="67">
        <f t="shared" ref="AZ67:AZ86" si="18">SUM(AV67:AY67)</f>
        <v>66910</v>
      </c>
      <c r="BA67" s="10">
        <v>18242</v>
      </c>
      <c r="BB67" s="10">
        <v>15482</v>
      </c>
      <c r="BC67" s="10">
        <v>17622</v>
      </c>
      <c r="BD67" s="10">
        <v>18231</v>
      </c>
      <c r="BE67" s="67">
        <f t="shared" ref="BE67:BE86" si="19">SUM(BA67+BB67+BC67+BD67)</f>
        <v>69577</v>
      </c>
      <c r="BF67" s="10">
        <v>18301</v>
      </c>
      <c r="BG67" s="10">
        <v>18867</v>
      </c>
      <c r="BH67" s="10"/>
      <c r="BI67" s="10"/>
      <c r="BJ67" s="10">
        <f>SUM(BF67:BI67)</f>
        <v>37168</v>
      </c>
      <c r="BK67" s="67">
        <f>SUM(BK68:BK70)</f>
        <v>173655</v>
      </c>
      <c r="BL67" s="41">
        <f t="shared" si="17"/>
        <v>0.84249875072167046</v>
      </c>
      <c r="BM67" s="3">
        <v>45255403</v>
      </c>
      <c r="BN67" s="258" t="s">
        <v>661</v>
      </c>
      <c r="BO67" s="61">
        <f>SUM(BO68:BO70)</f>
        <v>12097</v>
      </c>
    </row>
    <row r="68" spans="2:67" ht="51" customHeight="1" outlineLevel="1" x14ac:dyDescent="0.2">
      <c r="B68" s="48"/>
      <c r="C68" s="469"/>
      <c r="D68" s="469"/>
      <c r="E68" s="469"/>
      <c r="F68" s="66"/>
      <c r="G68" s="143" t="s">
        <v>259</v>
      </c>
      <c r="H68" s="8" t="s">
        <v>23</v>
      </c>
      <c r="I68" s="10">
        <v>57813</v>
      </c>
      <c r="J68" s="10" t="s">
        <v>350</v>
      </c>
      <c r="K68" s="10"/>
      <c r="L68" s="10"/>
      <c r="M68" s="10" t="s">
        <v>400</v>
      </c>
      <c r="N68" s="10"/>
      <c r="O68" s="10"/>
      <c r="P68" s="48"/>
      <c r="Q68" s="48"/>
      <c r="R68" s="48"/>
      <c r="S68" s="48"/>
      <c r="T68" s="48"/>
      <c r="U68" s="48"/>
      <c r="V68" s="48"/>
      <c r="W68" s="48"/>
      <c r="X68" s="48"/>
      <c r="Y68" s="67"/>
      <c r="Z68" s="67"/>
      <c r="AA68" s="67"/>
      <c r="AB68" s="67"/>
      <c r="AC68" s="67"/>
      <c r="AD68" s="67"/>
      <c r="AE68" s="67"/>
      <c r="AF68" s="67"/>
      <c r="AG68" s="67"/>
      <c r="AH68" s="67"/>
      <c r="AI68" s="67"/>
      <c r="AJ68" s="67"/>
      <c r="AK68" s="67"/>
      <c r="AL68" s="67"/>
      <c r="AM68" s="67"/>
      <c r="AN68" s="67"/>
      <c r="AO68" s="67"/>
      <c r="AP68" s="67"/>
      <c r="AQ68" s="67"/>
      <c r="AR68" s="67"/>
      <c r="AS68" s="67"/>
      <c r="AT68" s="67"/>
      <c r="AU68" s="234">
        <v>59048</v>
      </c>
      <c r="AV68" s="10">
        <v>2391</v>
      </c>
      <c r="AW68" s="10">
        <v>2241</v>
      </c>
      <c r="AX68" s="10">
        <v>2481</v>
      </c>
      <c r="AY68" s="10">
        <v>2097</v>
      </c>
      <c r="AZ68" s="67">
        <f t="shared" si="18"/>
        <v>9210</v>
      </c>
      <c r="BA68" s="67">
        <v>2629</v>
      </c>
      <c r="BB68" s="67">
        <v>2204</v>
      </c>
      <c r="BC68" s="67">
        <v>2274</v>
      </c>
      <c r="BD68" s="67">
        <v>2886</v>
      </c>
      <c r="BE68" s="67">
        <f t="shared" si="19"/>
        <v>9993</v>
      </c>
      <c r="BF68" s="67">
        <v>2821</v>
      </c>
      <c r="BG68" s="67">
        <v>2898</v>
      </c>
      <c r="BH68" s="10"/>
      <c r="BI68" s="10"/>
      <c r="BJ68" s="67">
        <f t="shared" si="16"/>
        <v>5719</v>
      </c>
      <c r="BK68" s="67">
        <f>+BJ68+BE68+AZ68</f>
        <v>24922</v>
      </c>
      <c r="BL68" s="41">
        <f t="shared" si="17"/>
        <v>0.42206340604254167</v>
      </c>
      <c r="BM68" s="65"/>
      <c r="BN68" s="65"/>
      <c r="BO68" s="61">
        <f>593+594</f>
        <v>1187</v>
      </c>
    </row>
    <row r="69" spans="2:67" ht="35.25" customHeight="1" outlineLevel="1" x14ac:dyDescent="0.2">
      <c r="B69" s="48"/>
      <c r="C69" s="469"/>
      <c r="D69" s="469"/>
      <c r="E69" s="469"/>
      <c r="F69" s="31"/>
      <c r="G69" s="143" t="s">
        <v>30</v>
      </c>
      <c r="H69" s="8" t="s">
        <v>23</v>
      </c>
      <c r="I69" s="10">
        <v>38541</v>
      </c>
      <c r="J69" s="10" t="s">
        <v>349</v>
      </c>
      <c r="K69" s="10"/>
      <c r="L69" s="10"/>
      <c r="M69" s="10" t="s">
        <v>401</v>
      </c>
      <c r="N69" s="10"/>
      <c r="O69" s="10"/>
      <c r="P69" s="48"/>
      <c r="Q69" s="48"/>
      <c r="R69" s="48"/>
      <c r="S69" s="48"/>
      <c r="T69" s="48"/>
      <c r="U69" s="48"/>
      <c r="V69" s="48"/>
      <c r="W69" s="48"/>
      <c r="X69" s="48"/>
      <c r="Y69" s="67"/>
      <c r="Z69" s="67"/>
      <c r="AA69" s="67"/>
      <c r="AB69" s="67"/>
      <c r="AC69" s="67"/>
      <c r="AD69" s="67"/>
      <c r="AE69" s="67"/>
      <c r="AF69" s="67"/>
      <c r="AG69" s="67"/>
      <c r="AH69" s="67"/>
      <c r="AI69" s="67"/>
      <c r="AJ69" s="67"/>
      <c r="AK69" s="67"/>
      <c r="AL69" s="67"/>
      <c r="AM69" s="67"/>
      <c r="AN69" s="67"/>
      <c r="AO69" s="67"/>
      <c r="AP69" s="67"/>
      <c r="AQ69" s="67"/>
      <c r="AR69" s="67"/>
      <c r="AS69" s="67"/>
      <c r="AT69" s="67"/>
      <c r="AU69" s="234">
        <v>39541</v>
      </c>
      <c r="AV69" s="10">
        <v>3102</v>
      </c>
      <c r="AW69" s="10">
        <v>2714</v>
      </c>
      <c r="AX69" s="10">
        <v>2878</v>
      </c>
      <c r="AY69" s="10">
        <v>2221</v>
      </c>
      <c r="AZ69" s="67">
        <f t="shared" si="18"/>
        <v>10915</v>
      </c>
      <c r="BA69" s="67">
        <v>2898</v>
      </c>
      <c r="BB69" s="67">
        <v>2371</v>
      </c>
      <c r="BC69" s="67">
        <v>2845</v>
      </c>
      <c r="BD69" s="67">
        <v>2711</v>
      </c>
      <c r="BE69" s="67">
        <f t="shared" si="19"/>
        <v>10825</v>
      </c>
      <c r="BF69" s="67">
        <v>2720</v>
      </c>
      <c r="BG69" s="67">
        <v>2857</v>
      </c>
      <c r="BH69" s="10"/>
      <c r="BI69" s="67"/>
      <c r="BJ69" s="67">
        <f t="shared" si="16"/>
        <v>5577</v>
      </c>
      <c r="BK69" s="67">
        <f>+BJ69+BE69+AZ69</f>
        <v>27317</v>
      </c>
      <c r="BL69" s="41">
        <f t="shared" si="17"/>
        <v>0.69085253281404113</v>
      </c>
      <c r="BM69" s="6"/>
      <c r="BN69" s="65"/>
      <c r="BO69" s="61">
        <f>2007+2007</f>
        <v>4014</v>
      </c>
    </row>
    <row r="70" spans="2:67" ht="48.75" customHeight="1" outlineLevel="1" x14ac:dyDescent="0.2">
      <c r="B70" s="48"/>
      <c r="C70" s="460"/>
      <c r="D70" s="461"/>
      <c r="E70" s="462"/>
      <c r="F70" s="52"/>
      <c r="G70" s="143" t="s">
        <v>260</v>
      </c>
      <c r="H70" s="8" t="s">
        <v>23</v>
      </c>
      <c r="I70" s="10">
        <v>96354</v>
      </c>
      <c r="J70" s="10" t="s">
        <v>351</v>
      </c>
      <c r="K70" s="10"/>
      <c r="L70" s="10"/>
      <c r="M70" s="10" t="s">
        <v>402</v>
      </c>
      <c r="N70" s="10"/>
      <c r="O70" s="10" t="s">
        <v>466</v>
      </c>
      <c r="P70" s="48"/>
      <c r="Q70" s="48"/>
      <c r="R70" s="48"/>
      <c r="S70" s="48"/>
      <c r="T70" s="48"/>
      <c r="U70" s="48"/>
      <c r="V70" s="48"/>
      <c r="W70" s="137" t="s">
        <v>540</v>
      </c>
      <c r="X70" s="48"/>
      <c r="Y70" s="67"/>
      <c r="Z70" s="67"/>
      <c r="AA70" s="67"/>
      <c r="AB70" s="67"/>
      <c r="AC70" s="67"/>
      <c r="AD70" s="67"/>
      <c r="AE70" s="67"/>
      <c r="AF70" s="67"/>
      <c r="AG70" s="67"/>
      <c r="AH70" s="67"/>
      <c r="AI70" s="67"/>
      <c r="AJ70" s="67"/>
      <c r="AK70" s="67"/>
      <c r="AL70" s="67"/>
      <c r="AM70" s="67"/>
      <c r="AN70" s="67"/>
      <c r="AO70" s="67"/>
      <c r="AP70" s="67"/>
      <c r="AQ70" s="67"/>
      <c r="AR70" s="67"/>
      <c r="AS70" s="67"/>
      <c r="AT70" s="67"/>
      <c r="AU70" s="234">
        <v>107530</v>
      </c>
      <c r="AV70" s="10">
        <v>12605</v>
      </c>
      <c r="AW70" s="10">
        <v>11759</v>
      </c>
      <c r="AX70" s="10">
        <v>12490</v>
      </c>
      <c r="AY70" s="10">
        <v>9931</v>
      </c>
      <c r="AZ70" s="67">
        <f t="shared" si="18"/>
        <v>46785</v>
      </c>
      <c r="BA70" s="67">
        <v>12715</v>
      </c>
      <c r="BB70" s="67">
        <v>10907</v>
      </c>
      <c r="BC70" s="67">
        <v>12503</v>
      </c>
      <c r="BD70" s="67">
        <v>12634</v>
      </c>
      <c r="BE70" s="67">
        <f t="shared" si="19"/>
        <v>48759</v>
      </c>
      <c r="BF70" s="67">
        <v>12760</v>
      </c>
      <c r="BG70" s="67">
        <v>13112</v>
      </c>
      <c r="BH70" s="10"/>
      <c r="BI70" s="67"/>
      <c r="BJ70" s="67">
        <f t="shared" si="16"/>
        <v>25872</v>
      </c>
      <c r="BK70" s="67">
        <f>+BJ70+BE70+AZ70</f>
        <v>121416</v>
      </c>
      <c r="BL70" s="298">
        <v>1</v>
      </c>
      <c r="BM70" s="12"/>
      <c r="BN70" s="12"/>
      <c r="BO70" s="61">
        <f>3448+3448</f>
        <v>6896</v>
      </c>
    </row>
    <row r="71" spans="2:67" ht="30.75" customHeight="1" x14ac:dyDescent="0.2">
      <c r="B71" s="48"/>
      <c r="C71" s="460"/>
      <c r="D71" s="461"/>
      <c r="E71" s="462"/>
      <c r="F71" s="52"/>
      <c r="G71" s="16" t="s">
        <v>31</v>
      </c>
      <c r="H71" s="8" t="s">
        <v>29</v>
      </c>
      <c r="I71" s="65">
        <v>6</v>
      </c>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6">
        <v>6</v>
      </c>
      <c r="AV71" s="65">
        <v>2</v>
      </c>
      <c r="AW71" s="65">
        <v>1</v>
      </c>
      <c r="AX71" s="65">
        <v>2</v>
      </c>
      <c r="AY71" s="65">
        <v>2</v>
      </c>
      <c r="AZ71" s="66">
        <f t="shared" si="18"/>
        <v>7</v>
      </c>
      <c r="BA71" s="66">
        <v>2</v>
      </c>
      <c r="BB71" s="111" t="s">
        <v>211</v>
      </c>
      <c r="BC71" s="107" t="s">
        <v>211</v>
      </c>
      <c r="BD71" s="107" t="s">
        <v>360</v>
      </c>
      <c r="BE71" s="66">
        <f t="shared" si="19"/>
        <v>4</v>
      </c>
      <c r="BF71" s="66">
        <v>1</v>
      </c>
      <c r="BG71" s="107" t="s">
        <v>211</v>
      </c>
      <c r="BH71" s="65"/>
      <c r="BI71" s="66"/>
      <c r="BJ71" s="66">
        <f t="shared" si="16"/>
        <v>1</v>
      </c>
      <c r="BK71" s="66">
        <v>6</v>
      </c>
      <c r="BL71" s="261">
        <f t="shared" si="17"/>
        <v>1</v>
      </c>
      <c r="BM71" s="12"/>
      <c r="BN71" s="12"/>
    </row>
    <row r="72" spans="2:67" ht="30" customHeight="1" x14ac:dyDescent="0.2">
      <c r="B72" s="48"/>
      <c r="C72" s="167"/>
      <c r="D72" s="168"/>
      <c r="E72" s="169"/>
      <c r="F72" s="52"/>
      <c r="G72" s="16" t="s">
        <v>32</v>
      </c>
      <c r="H72" s="8" t="s">
        <v>29</v>
      </c>
      <c r="I72" s="65">
        <v>6</v>
      </c>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6">
        <v>6</v>
      </c>
      <c r="AV72" s="65">
        <v>4</v>
      </c>
      <c r="AW72" s="107" t="s">
        <v>211</v>
      </c>
      <c r="AX72" s="107" t="s">
        <v>211</v>
      </c>
      <c r="AY72" s="107" t="s">
        <v>211</v>
      </c>
      <c r="AZ72" s="66">
        <f t="shared" si="18"/>
        <v>4</v>
      </c>
      <c r="BA72" s="66" t="s">
        <v>211</v>
      </c>
      <c r="BB72" s="111" t="s">
        <v>211</v>
      </c>
      <c r="BC72" s="107" t="s">
        <v>211</v>
      </c>
      <c r="BD72" s="107" t="s">
        <v>211</v>
      </c>
      <c r="BE72" s="107" t="s">
        <v>211</v>
      </c>
      <c r="BF72" s="107" t="s">
        <v>211</v>
      </c>
      <c r="BG72" s="107" t="s">
        <v>211</v>
      </c>
      <c r="BH72" s="65"/>
      <c r="BI72" s="66"/>
      <c r="BJ72" s="107" t="s">
        <v>211</v>
      </c>
      <c r="BK72" s="66">
        <f t="shared" ref="BK72:BK86" si="20">+BJ72+BE72+AZ72</f>
        <v>4</v>
      </c>
      <c r="BL72" s="68">
        <f t="shared" si="17"/>
        <v>0.66666666666666663</v>
      </c>
      <c r="BM72" s="12"/>
      <c r="BN72" s="12"/>
    </row>
    <row r="73" spans="2:67" ht="27" customHeight="1" x14ac:dyDescent="0.2">
      <c r="B73" s="48"/>
      <c r="C73" s="469"/>
      <c r="D73" s="469"/>
      <c r="E73" s="469"/>
      <c r="F73" s="31"/>
      <c r="G73" s="16" t="s">
        <v>33</v>
      </c>
      <c r="H73" s="8" t="s">
        <v>29</v>
      </c>
      <c r="I73" s="65">
        <v>6564</v>
      </c>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6">
        <v>6564</v>
      </c>
      <c r="AV73" s="65">
        <v>645</v>
      </c>
      <c r="AW73" s="65">
        <v>603</v>
      </c>
      <c r="AX73" s="107" t="s">
        <v>473</v>
      </c>
      <c r="AY73" s="65">
        <v>619</v>
      </c>
      <c r="AZ73" s="66">
        <f t="shared" si="18"/>
        <v>1867</v>
      </c>
      <c r="BA73" s="107">
        <v>820</v>
      </c>
      <c r="BB73" s="66">
        <v>706</v>
      </c>
      <c r="BC73" s="107">
        <v>800</v>
      </c>
      <c r="BD73" s="66">
        <v>757</v>
      </c>
      <c r="BE73" s="66">
        <f t="shared" si="19"/>
        <v>3083</v>
      </c>
      <c r="BF73" s="66">
        <v>910</v>
      </c>
      <c r="BG73" s="66">
        <v>800</v>
      </c>
      <c r="BH73" s="107"/>
      <c r="BI73" s="107"/>
      <c r="BJ73" s="66">
        <f t="shared" ref="BJ73:BJ86" si="21">SUM(BF73:BI73)</f>
        <v>1710</v>
      </c>
      <c r="BK73" s="66">
        <v>6564</v>
      </c>
      <c r="BL73" s="375">
        <f t="shared" si="17"/>
        <v>1</v>
      </c>
      <c r="BM73" s="6"/>
      <c r="BN73" s="6"/>
    </row>
    <row r="74" spans="2:67" ht="15" x14ac:dyDescent="0.2">
      <c r="B74" s="48"/>
      <c r="C74" s="469"/>
      <c r="D74" s="469"/>
      <c r="E74" s="469"/>
      <c r="F74" s="66"/>
      <c r="G74" s="16" t="s">
        <v>34</v>
      </c>
      <c r="H74" s="8" t="s">
        <v>29</v>
      </c>
      <c r="I74" s="65">
        <v>3900</v>
      </c>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6">
        <v>3900</v>
      </c>
      <c r="AV74" s="65">
        <v>340</v>
      </c>
      <c r="AW74" s="65">
        <v>326</v>
      </c>
      <c r="AX74" s="65">
        <v>358</v>
      </c>
      <c r="AY74" s="65">
        <v>369</v>
      </c>
      <c r="AZ74" s="66">
        <f t="shared" si="18"/>
        <v>1393</v>
      </c>
      <c r="BA74" s="66">
        <v>454</v>
      </c>
      <c r="BB74" s="66">
        <v>408</v>
      </c>
      <c r="BC74" s="66">
        <v>461</v>
      </c>
      <c r="BD74" s="66">
        <v>416</v>
      </c>
      <c r="BE74" s="66">
        <f t="shared" si="19"/>
        <v>1739</v>
      </c>
      <c r="BF74" s="66">
        <v>421</v>
      </c>
      <c r="BG74" s="66">
        <v>456</v>
      </c>
      <c r="BH74" s="65"/>
      <c r="BI74" s="66"/>
      <c r="BJ74" s="66">
        <f t="shared" si="21"/>
        <v>877</v>
      </c>
      <c r="BK74" s="66">
        <v>3900</v>
      </c>
      <c r="BL74" s="375">
        <f t="shared" si="17"/>
        <v>1</v>
      </c>
      <c r="BM74" s="18"/>
      <c r="BN74" s="18"/>
    </row>
    <row r="75" spans="2:67" ht="32.25" customHeight="1" x14ac:dyDescent="0.2">
      <c r="B75" s="48"/>
      <c r="C75" s="469"/>
      <c r="D75" s="469"/>
      <c r="E75" s="469"/>
      <c r="F75" s="8"/>
      <c r="G75" s="16" t="s">
        <v>35</v>
      </c>
      <c r="H75" s="8" t="s">
        <v>29</v>
      </c>
      <c r="I75" s="65">
        <v>9312</v>
      </c>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6">
        <v>9312</v>
      </c>
      <c r="AV75" s="65">
        <v>807</v>
      </c>
      <c r="AW75" s="65">
        <v>712</v>
      </c>
      <c r="AX75" s="65">
        <v>835</v>
      </c>
      <c r="AY75" s="65">
        <v>726</v>
      </c>
      <c r="AZ75" s="66">
        <f t="shared" si="18"/>
        <v>3080</v>
      </c>
      <c r="BA75" s="66">
        <v>867</v>
      </c>
      <c r="BB75" s="66">
        <v>784</v>
      </c>
      <c r="BC75" s="66">
        <v>839</v>
      </c>
      <c r="BD75" s="66">
        <v>792</v>
      </c>
      <c r="BE75" s="66">
        <f t="shared" si="19"/>
        <v>3282</v>
      </c>
      <c r="BF75" s="66">
        <v>904</v>
      </c>
      <c r="BG75" s="66">
        <v>880</v>
      </c>
      <c r="BH75" s="65"/>
      <c r="BI75" s="66"/>
      <c r="BJ75" s="66">
        <f t="shared" si="21"/>
        <v>1784</v>
      </c>
      <c r="BK75" s="66">
        <f t="shared" si="20"/>
        <v>8146</v>
      </c>
      <c r="BL75" s="68">
        <f t="shared" si="17"/>
        <v>0.8747852233676976</v>
      </c>
      <c r="BM75" s="18"/>
      <c r="BN75" s="18"/>
    </row>
    <row r="76" spans="2:67" ht="32.25" customHeight="1" x14ac:dyDescent="0.2">
      <c r="B76" s="48"/>
      <c r="C76" s="469"/>
      <c r="D76" s="469"/>
      <c r="E76" s="469"/>
      <c r="F76" s="8"/>
      <c r="G76" s="101" t="s">
        <v>36</v>
      </c>
      <c r="H76" s="8" t="s">
        <v>29</v>
      </c>
      <c r="I76" s="65">
        <v>16164</v>
      </c>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6">
        <v>16164</v>
      </c>
      <c r="AV76" s="65">
        <v>1498</v>
      </c>
      <c r="AW76" s="65">
        <v>1472</v>
      </c>
      <c r="AX76" s="65">
        <v>1599</v>
      </c>
      <c r="AY76" s="65">
        <v>1321</v>
      </c>
      <c r="AZ76" s="66">
        <f t="shared" si="18"/>
        <v>5890</v>
      </c>
      <c r="BA76" s="66">
        <v>1562</v>
      </c>
      <c r="BB76" s="66">
        <v>1426</v>
      </c>
      <c r="BC76" s="66">
        <v>1612</v>
      </c>
      <c r="BD76" s="66">
        <v>1530</v>
      </c>
      <c r="BE76" s="66">
        <f t="shared" si="19"/>
        <v>6130</v>
      </c>
      <c r="BF76" s="66">
        <v>1752</v>
      </c>
      <c r="BG76" s="66">
        <v>1613</v>
      </c>
      <c r="BH76" s="65"/>
      <c r="BI76" s="66"/>
      <c r="BJ76" s="66">
        <f t="shared" si="21"/>
        <v>3365</v>
      </c>
      <c r="BK76" s="66">
        <f t="shared" si="20"/>
        <v>15385</v>
      </c>
      <c r="BL76" s="68">
        <f t="shared" si="17"/>
        <v>0.95180648354367736</v>
      </c>
      <c r="BM76" s="18"/>
      <c r="BN76" s="18"/>
    </row>
    <row r="77" spans="2:67" ht="29.25" customHeight="1" x14ac:dyDescent="0.2">
      <c r="B77" s="48"/>
      <c r="C77" s="469"/>
      <c r="D77" s="469"/>
      <c r="E77" s="469"/>
      <c r="F77" s="8"/>
      <c r="G77" s="101" t="s">
        <v>37</v>
      </c>
      <c r="H77" s="8" t="s">
        <v>29</v>
      </c>
      <c r="I77" s="65">
        <v>36060</v>
      </c>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6">
        <v>36060</v>
      </c>
      <c r="AV77" s="65">
        <v>3730</v>
      </c>
      <c r="AW77" s="65">
        <v>3616</v>
      </c>
      <c r="AX77" s="65">
        <v>4133</v>
      </c>
      <c r="AY77" s="65">
        <v>3367</v>
      </c>
      <c r="AZ77" s="66">
        <f t="shared" si="18"/>
        <v>14846</v>
      </c>
      <c r="BA77" s="66">
        <v>4447</v>
      </c>
      <c r="BB77" s="66">
        <v>3950</v>
      </c>
      <c r="BC77" s="66">
        <v>4287</v>
      </c>
      <c r="BD77" s="66">
        <v>4255</v>
      </c>
      <c r="BE77" s="66">
        <f t="shared" si="19"/>
        <v>16939</v>
      </c>
      <c r="BF77" s="66">
        <v>4130</v>
      </c>
      <c r="BG77" s="66">
        <v>4173</v>
      </c>
      <c r="BH77" s="65"/>
      <c r="BI77" s="66"/>
      <c r="BJ77" s="66">
        <f t="shared" si="21"/>
        <v>8303</v>
      </c>
      <c r="BK77" s="66">
        <v>36060</v>
      </c>
      <c r="BL77" s="284">
        <f t="shared" si="17"/>
        <v>1</v>
      </c>
      <c r="BM77" s="18"/>
      <c r="BN77" s="18"/>
    </row>
    <row r="78" spans="2:67" ht="33" customHeight="1" x14ac:dyDescent="0.2">
      <c r="B78" s="48"/>
      <c r="C78" s="469"/>
      <c r="D78" s="469"/>
      <c r="E78" s="469"/>
      <c r="F78" s="8"/>
      <c r="G78" s="101" t="s">
        <v>38</v>
      </c>
      <c r="H78" s="8" t="s">
        <v>29</v>
      </c>
      <c r="I78" s="65">
        <v>6444</v>
      </c>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6">
        <v>6444</v>
      </c>
      <c r="AV78" s="65">
        <v>513</v>
      </c>
      <c r="AW78" s="65">
        <v>557</v>
      </c>
      <c r="AX78" s="65">
        <v>434</v>
      </c>
      <c r="AY78" s="65">
        <v>318</v>
      </c>
      <c r="AZ78" s="66">
        <f t="shared" si="18"/>
        <v>1822</v>
      </c>
      <c r="BA78" s="66">
        <v>454</v>
      </c>
      <c r="BB78" s="66">
        <v>469</v>
      </c>
      <c r="BC78" s="66">
        <v>447</v>
      </c>
      <c r="BD78" s="66">
        <v>472</v>
      </c>
      <c r="BE78" s="66">
        <f t="shared" si="19"/>
        <v>1842</v>
      </c>
      <c r="BF78" s="66">
        <v>436</v>
      </c>
      <c r="BG78" s="66">
        <v>444</v>
      </c>
      <c r="BH78" s="65"/>
      <c r="BI78" s="66"/>
      <c r="BJ78" s="66">
        <f t="shared" si="21"/>
        <v>880</v>
      </c>
      <c r="BK78" s="66">
        <f t="shared" si="20"/>
        <v>4544</v>
      </c>
      <c r="BL78" s="68">
        <f t="shared" si="17"/>
        <v>0.70515207945375546</v>
      </c>
      <c r="BM78" s="18"/>
      <c r="BN78" s="18"/>
    </row>
    <row r="79" spans="2:67" ht="19.5" customHeight="1" x14ac:dyDescent="0.2">
      <c r="B79" s="48"/>
      <c r="C79" s="460"/>
      <c r="D79" s="461"/>
      <c r="E79" s="462"/>
      <c r="F79" s="8"/>
      <c r="G79" s="101" t="s">
        <v>39</v>
      </c>
      <c r="H79" s="8" t="s">
        <v>29</v>
      </c>
      <c r="I79" s="65">
        <v>3936</v>
      </c>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6">
        <v>3936</v>
      </c>
      <c r="AV79" s="65">
        <v>423</v>
      </c>
      <c r="AW79" s="65">
        <v>414</v>
      </c>
      <c r="AX79" s="65">
        <v>533</v>
      </c>
      <c r="AY79" s="65">
        <v>455</v>
      </c>
      <c r="AZ79" s="66">
        <f t="shared" si="18"/>
        <v>1825</v>
      </c>
      <c r="BA79" s="66" t="s">
        <v>211</v>
      </c>
      <c r="BB79" s="66">
        <v>452</v>
      </c>
      <c r="BC79" s="66">
        <v>458</v>
      </c>
      <c r="BD79" s="66">
        <v>403</v>
      </c>
      <c r="BE79" s="66">
        <f t="shared" si="19"/>
        <v>1313</v>
      </c>
      <c r="BF79" s="66">
        <v>490</v>
      </c>
      <c r="BG79" s="66">
        <v>408</v>
      </c>
      <c r="BH79" s="65"/>
      <c r="BI79" s="66"/>
      <c r="BJ79" s="66">
        <f t="shared" si="21"/>
        <v>898</v>
      </c>
      <c r="BK79" s="66">
        <v>3936</v>
      </c>
      <c r="BL79" s="375">
        <f t="shared" si="17"/>
        <v>1</v>
      </c>
      <c r="BM79" s="18"/>
      <c r="BN79" s="18"/>
    </row>
    <row r="80" spans="2:67" ht="28.5" customHeight="1" x14ac:dyDescent="0.2">
      <c r="B80" s="48"/>
      <c r="C80" s="460"/>
      <c r="D80" s="461"/>
      <c r="E80" s="462"/>
      <c r="F80" s="8"/>
      <c r="G80" s="101" t="s">
        <v>40</v>
      </c>
      <c r="H80" s="8" t="s">
        <v>29</v>
      </c>
      <c r="I80" s="65">
        <v>24984</v>
      </c>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6">
        <v>24984</v>
      </c>
      <c r="AV80" s="65">
        <v>2588</v>
      </c>
      <c r="AW80" s="65">
        <v>2548</v>
      </c>
      <c r="AX80" s="65">
        <v>2975</v>
      </c>
      <c r="AY80" s="65">
        <v>2418</v>
      </c>
      <c r="AZ80" s="66">
        <f t="shared" si="18"/>
        <v>10529</v>
      </c>
      <c r="BA80" s="66">
        <v>3203</v>
      </c>
      <c r="BB80" s="66">
        <v>2946</v>
      </c>
      <c r="BC80" s="66">
        <v>3266</v>
      </c>
      <c r="BD80" s="66">
        <v>2912</v>
      </c>
      <c r="BE80" s="66">
        <f t="shared" si="19"/>
        <v>12327</v>
      </c>
      <c r="BF80" s="66">
        <v>2814</v>
      </c>
      <c r="BG80" s="66">
        <v>2803</v>
      </c>
      <c r="BH80" s="65"/>
      <c r="BI80" s="66"/>
      <c r="BJ80" s="66">
        <f t="shared" si="21"/>
        <v>5617</v>
      </c>
      <c r="BK80" s="66">
        <v>24984</v>
      </c>
      <c r="BL80" s="284">
        <f t="shared" si="17"/>
        <v>1</v>
      </c>
      <c r="BM80" s="18"/>
      <c r="BN80" s="18"/>
    </row>
    <row r="81" spans="2:67" ht="16.5" customHeight="1" x14ac:dyDescent="0.2">
      <c r="B81" s="48"/>
      <c r="C81" s="167"/>
      <c r="D81" s="168"/>
      <c r="E81" s="169"/>
      <c r="F81" s="8"/>
      <c r="G81" s="101" t="s">
        <v>41</v>
      </c>
      <c r="H81" s="8" t="s">
        <v>29</v>
      </c>
      <c r="I81" s="65">
        <v>1872</v>
      </c>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6">
        <v>1872</v>
      </c>
      <c r="AV81" s="65">
        <v>92</v>
      </c>
      <c r="AW81" s="65">
        <v>96</v>
      </c>
      <c r="AX81" s="65">
        <v>90</v>
      </c>
      <c r="AY81" s="65">
        <v>99</v>
      </c>
      <c r="AZ81" s="66">
        <f t="shared" si="18"/>
        <v>377</v>
      </c>
      <c r="BA81" s="66">
        <v>151</v>
      </c>
      <c r="BB81" s="66">
        <v>100</v>
      </c>
      <c r="BC81" s="66">
        <v>149</v>
      </c>
      <c r="BD81" s="66">
        <v>156</v>
      </c>
      <c r="BE81" s="66">
        <f t="shared" si="19"/>
        <v>556</v>
      </c>
      <c r="BF81" s="66">
        <v>123</v>
      </c>
      <c r="BG81" s="66">
        <v>205</v>
      </c>
      <c r="BH81" s="65"/>
      <c r="BI81" s="66"/>
      <c r="BJ81" s="66">
        <f t="shared" si="21"/>
        <v>328</v>
      </c>
      <c r="BK81" s="66">
        <f t="shared" si="20"/>
        <v>1261</v>
      </c>
      <c r="BL81" s="68">
        <f t="shared" si="17"/>
        <v>0.67361111111111116</v>
      </c>
      <c r="BM81" s="18"/>
      <c r="BN81" s="18"/>
    </row>
    <row r="82" spans="2:67" ht="18" customHeight="1" x14ac:dyDescent="0.2">
      <c r="B82" s="48"/>
      <c r="C82" s="460"/>
      <c r="D82" s="461"/>
      <c r="E82" s="462"/>
      <c r="F82" s="8"/>
      <c r="G82" s="101" t="s">
        <v>42</v>
      </c>
      <c r="H82" s="8" t="s">
        <v>29</v>
      </c>
      <c r="I82" s="65">
        <v>252</v>
      </c>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6">
        <v>252</v>
      </c>
      <c r="AV82" s="65">
        <v>12</v>
      </c>
      <c r="AW82" s="65">
        <v>3</v>
      </c>
      <c r="AX82" s="65">
        <v>17</v>
      </c>
      <c r="AY82" s="65">
        <v>6</v>
      </c>
      <c r="AZ82" s="66">
        <f t="shared" si="18"/>
        <v>38</v>
      </c>
      <c r="BA82" s="66">
        <v>13</v>
      </c>
      <c r="BB82" s="66">
        <v>14</v>
      </c>
      <c r="BC82" s="66">
        <v>34</v>
      </c>
      <c r="BD82" s="66">
        <v>20</v>
      </c>
      <c r="BE82" s="66">
        <f t="shared" si="19"/>
        <v>81</v>
      </c>
      <c r="BF82" s="66">
        <v>14</v>
      </c>
      <c r="BG82" s="66">
        <v>16</v>
      </c>
      <c r="BH82" s="65"/>
      <c r="BI82" s="66"/>
      <c r="BJ82" s="66">
        <f t="shared" si="21"/>
        <v>30</v>
      </c>
      <c r="BK82" s="66">
        <f t="shared" si="20"/>
        <v>149</v>
      </c>
      <c r="BL82" s="68">
        <f t="shared" si="17"/>
        <v>0.59126984126984128</v>
      </c>
      <c r="BM82" s="18"/>
      <c r="BN82" s="18"/>
    </row>
    <row r="83" spans="2:67" ht="19.5" customHeight="1" x14ac:dyDescent="0.2">
      <c r="B83" s="48"/>
      <c r="C83" s="460"/>
      <c r="D83" s="461"/>
      <c r="E83" s="462"/>
      <c r="F83" s="8"/>
      <c r="G83" s="144" t="s">
        <v>43</v>
      </c>
      <c r="H83" s="8" t="s">
        <v>29</v>
      </c>
      <c r="I83" s="65">
        <v>113760</v>
      </c>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6">
        <v>113760</v>
      </c>
      <c r="AV83" s="65">
        <v>8880</v>
      </c>
      <c r="AW83" s="65">
        <v>7601</v>
      </c>
      <c r="AX83" s="65">
        <v>8023</v>
      </c>
      <c r="AY83" s="65">
        <v>6888</v>
      </c>
      <c r="AZ83" s="66">
        <f t="shared" si="18"/>
        <v>31392</v>
      </c>
      <c r="BA83" s="66">
        <v>8557</v>
      </c>
      <c r="BB83" s="66">
        <v>7999</v>
      </c>
      <c r="BC83" s="66">
        <v>9683</v>
      </c>
      <c r="BD83" s="66">
        <v>8815</v>
      </c>
      <c r="BE83" s="66">
        <f t="shared" si="19"/>
        <v>35054</v>
      </c>
      <c r="BF83" s="66">
        <v>8502</v>
      </c>
      <c r="BG83" s="66">
        <v>8524</v>
      </c>
      <c r="BH83" s="65"/>
      <c r="BI83" s="66"/>
      <c r="BJ83" s="66">
        <f t="shared" si="21"/>
        <v>17026</v>
      </c>
      <c r="BK83" s="66">
        <f t="shared" si="20"/>
        <v>83472</v>
      </c>
      <c r="BL83" s="68">
        <f t="shared" si="17"/>
        <v>0.73375527426160336</v>
      </c>
      <c r="BM83" s="18"/>
      <c r="BN83" s="18"/>
    </row>
    <row r="84" spans="2:67" ht="18.75" customHeight="1" x14ac:dyDescent="0.2">
      <c r="B84" s="48"/>
      <c r="C84" s="460"/>
      <c r="D84" s="461"/>
      <c r="E84" s="462"/>
      <c r="F84" s="8"/>
      <c r="G84" s="145" t="s">
        <v>44</v>
      </c>
      <c r="H84" s="76" t="s">
        <v>25</v>
      </c>
      <c r="I84" s="65">
        <v>35592</v>
      </c>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6">
        <v>35592</v>
      </c>
      <c r="AV84" s="65">
        <v>3299</v>
      </c>
      <c r="AW84" s="65">
        <v>3167</v>
      </c>
      <c r="AX84" s="65">
        <v>3659</v>
      </c>
      <c r="AY84" s="65">
        <v>2878</v>
      </c>
      <c r="AZ84" s="66">
        <f t="shared" si="18"/>
        <v>13003</v>
      </c>
      <c r="BA84" s="66">
        <v>3856</v>
      </c>
      <c r="BB84" s="66">
        <v>3135</v>
      </c>
      <c r="BC84" s="66">
        <v>3327</v>
      </c>
      <c r="BD84" s="66">
        <v>3557</v>
      </c>
      <c r="BE84" s="66">
        <f t="shared" si="19"/>
        <v>13875</v>
      </c>
      <c r="BF84" s="66">
        <v>3489</v>
      </c>
      <c r="BG84" s="66">
        <v>3765</v>
      </c>
      <c r="BH84" s="65"/>
      <c r="BI84" s="66"/>
      <c r="BJ84" s="66">
        <f t="shared" si="21"/>
        <v>7254</v>
      </c>
      <c r="BK84" s="66">
        <f t="shared" si="20"/>
        <v>34132</v>
      </c>
      <c r="BL84" s="68">
        <f t="shared" si="17"/>
        <v>0.95897954596538548</v>
      </c>
      <c r="BM84" s="18"/>
      <c r="BN84" s="18"/>
    </row>
    <row r="85" spans="2:67" ht="30.75" customHeight="1" x14ac:dyDescent="0.2">
      <c r="B85" s="48"/>
      <c r="C85" s="460"/>
      <c r="D85" s="461"/>
      <c r="E85" s="462"/>
      <c r="F85" s="8"/>
      <c r="G85" s="146" t="s">
        <v>45</v>
      </c>
      <c r="H85" s="8" t="s">
        <v>29</v>
      </c>
      <c r="I85" s="65">
        <v>48</v>
      </c>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6">
        <v>48</v>
      </c>
      <c r="AV85" s="65">
        <v>7</v>
      </c>
      <c r="AW85" s="65">
        <v>4</v>
      </c>
      <c r="AX85" s="65">
        <v>5</v>
      </c>
      <c r="AY85" s="65">
        <v>11</v>
      </c>
      <c r="AZ85" s="66">
        <f t="shared" si="18"/>
        <v>27</v>
      </c>
      <c r="BA85" s="66">
        <v>4</v>
      </c>
      <c r="BB85" s="66">
        <v>8</v>
      </c>
      <c r="BC85" s="66">
        <v>1</v>
      </c>
      <c r="BD85" s="66">
        <v>6</v>
      </c>
      <c r="BE85" s="66">
        <f t="shared" si="19"/>
        <v>19</v>
      </c>
      <c r="BF85" s="66">
        <v>12</v>
      </c>
      <c r="BG85" s="66">
        <v>3</v>
      </c>
      <c r="BH85" s="65"/>
      <c r="BI85" s="66"/>
      <c r="BJ85" s="66">
        <f t="shared" si="21"/>
        <v>15</v>
      </c>
      <c r="BK85" s="66">
        <v>48</v>
      </c>
      <c r="BL85" s="284">
        <f t="shared" si="17"/>
        <v>1</v>
      </c>
      <c r="BM85" s="18"/>
      <c r="BN85" s="18"/>
    </row>
    <row r="86" spans="2:67" ht="42" customHeight="1" x14ac:dyDescent="0.2">
      <c r="B86" s="48"/>
      <c r="C86" s="460"/>
      <c r="D86" s="461"/>
      <c r="E86" s="462"/>
      <c r="F86" s="8"/>
      <c r="G86" s="147" t="s">
        <v>261</v>
      </c>
      <c r="H86" s="76" t="s">
        <v>25</v>
      </c>
      <c r="I86" s="65">
        <v>34740</v>
      </c>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6">
        <v>34740</v>
      </c>
      <c r="AV86" s="65">
        <v>3385</v>
      </c>
      <c r="AW86" s="65">
        <v>3157</v>
      </c>
      <c r="AX86" s="65">
        <v>3659</v>
      </c>
      <c r="AY86" s="65">
        <v>2870</v>
      </c>
      <c r="AZ86" s="66">
        <f t="shared" si="18"/>
        <v>13071</v>
      </c>
      <c r="BA86" s="66">
        <v>3856</v>
      </c>
      <c r="BB86" s="66">
        <v>3126</v>
      </c>
      <c r="BC86" s="66">
        <v>3325</v>
      </c>
      <c r="BD86" s="66">
        <v>3549</v>
      </c>
      <c r="BE86" s="66">
        <f t="shared" si="19"/>
        <v>13856</v>
      </c>
      <c r="BF86" s="66">
        <v>3489</v>
      </c>
      <c r="BG86" s="66">
        <v>3759</v>
      </c>
      <c r="BH86" s="65"/>
      <c r="BI86" s="66"/>
      <c r="BJ86" s="66">
        <f t="shared" si="21"/>
        <v>7248</v>
      </c>
      <c r="BK86" s="66">
        <f t="shared" si="20"/>
        <v>34175</v>
      </c>
      <c r="BL86" s="68">
        <f t="shared" si="17"/>
        <v>0.98373632700057567</v>
      </c>
      <c r="BM86" s="18"/>
      <c r="BN86" s="18"/>
    </row>
    <row r="87" spans="2:67" s="181" customFormat="1" ht="15" customHeight="1" x14ac:dyDescent="0.2">
      <c r="B87" s="429" t="s">
        <v>109</v>
      </c>
      <c r="C87" s="430"/>
      <c r="D87" s="430"/>
      <c r="E87" s="430"/>
      <c r="F87" s="430"/>
      <c r="G87" s="430"/>
      <c r="H87" s="430"/>
      <c r="I87" s="430"/>
      <c r="J87" s="430"/>
      <c r="K87" s="430"/>
      <c r="L87" s="430"/>
      <c r="M87" s="430"/>
      <c r="N87" s="430"/>
      <c r="O87" s="430"/>
      <c r="P87" s="430"/>
      <c r="Q87" s="430"/>
      <c r="R87" s="430"/>
      <c r="S87" s="430"/>
      <c r="T87" s="430"/>
      <c r="U87" s="430"/>
      <c r="V87" s="430"/>
      <c r="W87" s="430"/>
      <c r="X87" s="430"/>
      <c r="Y87" s="430"/>
      <c r="Z87" s="430"/>
      <c r="AA87" s="430"/>
      <c r="AB87" s="430"/>
      <c r="AC87" s="430"/>
      <c r="AD87" s="430"/>
      <c r="AE87" s="430"/>
      <c r="AF87" s="430"/>
      <c r="AG87" s="430"/>
      <c r="AH87" s="430"/>
      <c r="AI87" s="430"/>
      <c r="AJ87" s="430"/>
      <c r="AK87" s="430"/>
      <c r="AL87" s="430"/>
      <c r="AM87" s="430"/>
      <c r="AN87" s="430"/>
      <c r="AO87" s="430"/>
      <c r="AP87" s="430"/>
      <c r="AQ87" s="430"/>
      <c r="AR87" s="430"/>
      <c r="AS87" s="430"/>
      <c r="AT87" s="430"/>
      <c r="AU87" s="430"/>
      <c r="AV87" s="430"/>
      <c r="AW87" s="430"/>
      <c r="AX87" s="430"/>
      <c r="AY87" s="430"/>
      <c r="AZ87" s="430"/>
      <c r="BA87" s="430"/>
      <c r="BB87" s="430"/>
      <c r="BC87" s="430"/>
      <c r="BD87" s="430"/>
      <c r="BE87" s="430"/>
      <c r="BF87" s="430"/>
      <c r="BG87" s="430"/>
      <c r="BH87" s="430"/>
      <c r="BI87" s="430"/>
      <c r="BJ87" s="430"/>
      <c r="BK87" s="430"/>
      <c r="BL87" s="430"/>
      <c r="BM87" s="430"/>
      <c r="BN87" s="217"/>
    </row>
    <row r="88" spans="2:67" s="181" customFormat="1" ht="42" customHeight="1" x14ac:dyDescent="0.2">
      <c r="B88" s="454" t="s">
        <v>102</v>
      </c>
      <c r="C88" s="454"/>
      <c r="D88" s="454"/>
      <c r="E88" s="454"/>
      <c r="F88" s="511" t="s">
        <v>185</v>
      </c>
      <c r="G88" s="512"/>
      <c r="H88" s="512"/>
      <c r="I88" s="512"/>
      <c r="J88" s="512"/>
      <c r="K88" s="512"/>
      <c r="L88" s="512"/>
      <c r="M88" s="512"/>
      <c r="N88" s="512"/>
      <c r="O88" s="512"/>
      <c r="P88" s="512"/>
      <c r="Q88" s="512"/>
      <c r="R88" s="512"/>
      <c r="S88" s="512"/>
      <c r="T88" s="512"/>
      <c r="U88" s="512"/>
      <c r="V88" s="512"/>
      <c r="W88" s="512"/>
      <c r="X88" s="512"/>
      <c r="Y88" s="512"/>
      <c r="Z88" s="512"/>
      <c r="AA88" s="512"/>
      <c r="AB88" s="512"/>
      <c r="AC88" s="512"/>
      <c r="AD88" s="512"/>
      <c r="AE88" s="512"/>
      <c r="AF88" s="512"/>
      <c r="AG88" s="512"/>
      <c r="AH88" s="512"/>
      <c r="AI88" s="512"/>
      <c r="AJ88" s="512"/>
      <c r="AK88" s="512"/>
      <c r="AL88" s="512"/>
      <c r="AM88" s="512"/>
      <c r="AN88" s="512"/>
      <c r="AO88" s="512"/>
      <c r="AP88" s="512"/>
      <c r="AQ88" s="512"/>
      <c r="AR88" s="512"/>
      <c r="AS88" s="512"/>
      <c r="AT88" s="512"/>
      <c r="AU88" s="512"/>
      <c r="AV88" s="512"/>
      <c r="AW88" s="512"/>
      <c r="AX88" s="512"/>
      <c r="AY88" s="512"/>
      <c r="AZ88" s="512"/>
      <c r="BA88" s="512"/>
      <c r="BB88" s="512"/>
      <c r="BC88" s="512"/>
      <c r="BD88" s="512"/>
      <c r="BE88" s="512"/>
      <c r="BF88" s="512"/>
      <c r="BG88" s="512"/>
      <c r="BH88" s="512"/>
      <c r="BI88" s="512"/>
      <c r="BJ88" s="512"/>
      <c r="BK88" s="512"/>
      <c r="BL88" s="512"/>
      <c r="BM88" s="512"/>
      <c r="BN88" s="513"/>
    </row>
    <row r="89" spans="2:67" s="181" customFormat="1" ht="15.75" customHeight="1" x14ac:dyDescent="0.2">
      <c r="B89" s="454" t="s">
        <v>103</v>
      </c>
      <c r="C89" s="454"/>
      <c r="D89" s="454"/>
      <c r="E89" s="454"/>
      <c r="F89" s="477" t="s">
        <v>108</v>
      </c>
      <c r="G89" s="478"/>
      <c r="H89" s="478"/>
      <c r="I89" s="478"/>
      <c r="J89" s="478"/>
      <c r="K89" s="478"/>
      <c r="L89" s="478"/>
      <c r="M89" s="478"/>
      <c r="N89" s="478"/>
      <c r="O89" s="478"/>
      <c r="P89" s="478"/>
      <c r="Q89" s="478"/>
      <c r="R89" s="478"/>
      <c r="S89" s="478"/>
      <c r="T89" s="478"/>
      <c r="U89" s="478"/>
      <c r="V89" s="478"/>
      <c r="W89" s="478"/>
      <c r="X89" s="478"/>
      <c r="Y89" s="478"/>
      <c r="Z89" s="478"/>
      <c r="AA89" s="478"/>
      <c r="AB89" s="478"/>
      <c r="AC89" s="478"/>
      <c r="AD89" s="478"/>
      <c r="AE89" s="478"/>
      <c r="AF89" s="478"/>
      <c r="AG89" s="478"/>
      <c r="AH89" s="478"/>
      <c r="AI89" s="478"/>
      <c r="AJ89" s="478"/>
      <c r="AK89" s="478"/>
      <c r="AL89" s="478"/>
      <c r="AM89" s="478"/>
      <c r="AN89" s="478"/>
      <c r="AO89" s="478"/>
      <c r="AP89" s="478"/>
      <c r="AQ89" s="478"/>
      <c r="AR89" s="478"/>
      <c r="AS89" s="478"/>
      <c r="AT89" s="478"/>
      <c r="AU89" s="478"/>
      <c r="AV89" s="478"/>
      <c r="AW89" s="478"/>
      <c r="AX89" s="478"/>
      <c r="AY89" s="478"/>
      <c r="AZ89" s="478"/>
      <c r="BA89" s="478"/>
      <c r="BB89" s="478"/>
      <c r="BC89" s="478"/>
      <c r="BD89" s="478"/>
      <c r="BE89" s="478"/>
      <c r="BF89" s="478"/>
      <c r="BG89" s="478"/>
      <c r="BH89" s="478"/>
      <c r="BI89" s="478"/>
      <c r="BJ89" s="478"/>
      <c r="BK89" s="478"/>
      <c r="BL89" s="478"/>
      <c r="BM89" s="478"/>
      <c r="BN89" s="479"/>
    </row>
    <row r="90" spans="2:67" ht="21" customHeight="1" x14ac:dyDescent="0.2">
      <c r="B90" s="88"/>
      <c r="C90" s="413" t="s">
        <v>235</v>
      </c>
      <c r="D90" s="414"/>
      <c r="E90" s="414"/>
      <c r="F90" s="414"/>
      <c r="G90" s="414"/>
      <c r="H90" s="414"/>
      <c r="I90" s="414"/>
      <c r="J90" s="414"/>
      <c r="K90" s="414"/>
      <c r="L90" s="414"/>
      <c r="M90" s="414"/>
      <c r="N90" s="414"/>
      <c r="O90" s="414"/>
      <c r="P90" s="414"/>
      <c r="Q90" s="414"/>
      <c r="R90" s="414"/>
      <c r="S90" s="414"/>
      <c r="T90" s="414"/>
      <c r="U90" s="414"/>
      <c r="V90" s="414"/>
      <c r="W90" s="414"/>
      <c r="X90" s="414"/>
      <c r="Y90" s="414"/>
      <c r="Z90" s="414"/>
      <c r="AA90" s="414"/>
      <c r="AB90" s="414"/>
      <c r="AC90" s="414"/>
      <c r="AD90" s="414"/>
      <c r="AE90" s="414"/>
      <c r="AF90" s="414"/>
      <c r="AG90" s="414"/>
      <c r="AH90" s="414"/>
      <c r="AI90" s="414"/>
      <c r="AJ90" s="414"/>
      <c r="AK90" s="414"/>
      <c r="AL90" s="414"/>
      <c r="AM90" s="414"/>
      <c r="AN90" s="414"/>
      <c r="AO90" s="414"/>
      <c r="AP90" s="414"/>
      <c r="AQ90" s="414"/>
      <c r="AR90" s="414"/>
      <c r="AS90" s="414"/>
      <c r="AT90" s="414"/>
      <c r="AU90" s="414"/>
      <c r="AV90" s="414"/>
      <c r="AW90" s="414"/>
      <c r="AX90" s="414"/>
      <c r="AY90" s="414"/>
      <c r="AZ90" s="414"/>
      <c r="BA90" s="414"/>
      <c r="BB90" s="414"/>
      <c r="BC90" s="414"/>
      <c r="BD90" s="414"/>
      <c r="BE90" s="414"/>
      <c r="BF90" s="414"/>
      <c r="BG90" s="414"/>
      <c r="BH90" s="414"/>
      <c r="BI90" s="414"/>
      <c r="BJ90" s="414"/>
      <c r="BK90" s="414"/>
      <c r="BL90" s="414"/>
      <c r="BM90" s="414"/>
      <c r="BN90" s="415"/>
    </row>
    <row r="91" spans="2:67" ht="53.25" customHeight="1" x14ac:dyDescent="0.2">
      <c r="B91" s="184" t="s">
        <v>139</v>
      </c>
      <c r="C91" s="401" t="s">
        <v>94</v>
      </c>
      <c r="D91" s="402"/>
      <c r="E91" s="403"/>
      <c r="F91" s="185" t="s">
        <v>95</v>
      </c>
      <c r="G91" s="198" t="s">
        <v>4</v>
      </c>
      <c r="H91" s="186" t="s">
        <v>3</v>
      </c>
      <c r="I91" s="188" t="s">
        <v>96</v>
      </c>
      <c r="J91" s="207" t="s">
        <v>494</v>
      </c>
      <c r="K91" s="207" t="s">
        <v>495</v>
      </c>
      <c r="L91" s="207" t="s">
        <v>380</v>
      </c>
      <c r="M91" s="208" t="s">
        <v>381</v>
      </c>
      <c r="N91" s="207" t="s">
        <v>517</v>
      </c>
      <c r="O91" s="207" t="s">
        <v>518</v>
      </c>
      <c r="P91" s="207" t="s">
        <v>490</v>
      </c>
      <c r="Q91" s="208" t="s">
        <v>491</v>
      </c>
      <c r="R91" s="208" t="s">
        <v>492</v>
      </c>
      <c r="S91" s="208" t="s">
        <v>493</v>
      </c>
      <c r="T91" s="208" t="s">
        <v>519</v>
      </c>
      <c r="U91" s="208" t="s">
        <v>523</v>
      </c>
      <c r="V91" s="208" t="s">
        <v>525</v>
      </c>
      <c r="W91" s="208" t="s">
        <v>571</v>
      </c>
      <c r="X91" s="208" t="s">
        <v>538</v>
      </c>
      <c r="Y91" s="208" t="s">
        <v>553</v>
      </c>
      <c r="Z91" s="208" t="s">
        <v>554</v>
      </c>
      <c r="AA91" s="307" t="s">
        <v>581</v>
      </c>
      <c r="AB91" s="208" t="s">
        <v>570</v>
      </c>
      <c r="AC91" s="307" t="s">
        <v>564</v>
      </c>
      <c r="AD91" s="307" t="s">
        <v>582</v>
      </c>
      <c r="AE91" s="309" t="s">
        <v>578</v>
      </c>
      <c r="AF91" s="307" t="s">
        <v>635</v>
      </c>
      <c r="AG91" s="307" t="s">
        <v>590</v>
      </c>
      <c r="AH91" s="307" t="s">
        <v>606</v>
      </c>
      <c r="AI91" s="307" t="s">
        <v>636</v>
      </c>
      <c r="AJ91" s="307" t="s">
        <v>623</v>
      </c>
      <c r="AK91" s="307" t="s">
        <v>628</v>
      </c>
      <c r="AL91" s="307" t="s">
        <v>637</v>
      </c>
      <c r="AM91" s="307" t="s">
        <v>641</v>
      </c>
      <c r="AN91" s="307" t="s">
        <v>643</v>
      </c>
      <c r="AO91" s="307" t="s">
        <v>646</v>
      </c>
      <c r="AP91" s="307" t="s">
        <v>650</v>
      </c>
      <c r="AQ91" s="307" t="s">
        <v>689</v>
      </c>
      <c r="AR91" s="307" t="s">
        <v>697</v>
      </c>
      <c r="AS91" s="307" t="s">
        <v>725</v>
      </c>
      <c r="AT91" s="307" t="s">
        <v>729</v>
      </c>
      <c r="AU91" s="188" t="s">
        <v>150</v>
      </c>
      <c r="AV91" s="1" t="s">
        <v>5</v>
      </c>
      <c r="AW91" s="1" t="s">
        <v>6</v>
      </c>
      <c r="AX91" s="1" t="s">
        <v>7</v>
      </c>
      <c r="AY91" s="1" t="s">
        <v>8</v>
      </c>
      <c r="AZ91" s="34" t="s">
        <v>157</v>
      </c>
      <c r="BA91" s="2" t="s">
        <v>9</v>
      </c>
      <c r="BB91" s="2" t="s">
        <v>10</v>
      </c>
      <c r="BC91" s="2" t="s">
        <v>11</v>
      </c>
      <c r="BD91" s="2" t="s">
        <v>12</v>
      </c>
      <c r="BE91" s="34" t="s">
        <v>158</v>
      </c>
      <c r="BF91" s="2" t="s">
        <v>13</v>
      </c>
      <c r="BG91" s="2" t="s">
        <v>14</v>
      </c>
      <c r="BH91" s="2" t="s">
        <v>15</v>
      </c>
      <c r="BI91" s="2" t="s">
        <v>16</v>
      </c>
      <c r="BJ91" s="34" t="s">
        <v>159</v>
      </c>
      <c r="BK91" s="189" t="s">
        <v>97</v>
      </c>
      <c r="BL91" s="189" t="s">
        <v>98</v>
      </c>
      <c r="BM91" s="190" t="s">
        <v>236</v>
      </c>
      <c r="BN91" s="189" t="s">
        <v>99</v>
      </c>
    </row>
    <row r="92" spans="2:67" ht="81" customHeight="1" x14ac:dyDescent="0.2">
      <c r="B92" s="48"/>
      <c r="C92" s="470" t="s">
        <v>191</v>
      </c>
      <c r="D92" s="470"/>
      <c r="E92" s="470"/>
      <c r="F92" s="64" t="s">
        <v>262</v>
      </c>
      <c r="G92" s="65"/>
      <c r="H92" s="5" t="s">
        <v>24</v>
      </c>
      <c r="I92" s="10">
        <v>26700</v>
      </c>
      <c r="J92" s="10" t="s">
        <v>353</v>
      </c>
      <c r="K92" s="10"/>
      <c r="L92" s="10"/>
      <c r="M92" s="10" t="s">
        <v>404</v>
      </c>
      <c r="N92" s="10"/>
      <c r="O92" s="10"/>
      <c r="P92" s="10"/>
      <c r="Q92" s="10"/>
      <c r="R92" s="10"/>
      <c r="S92" s="10"/>
      <c r="T92" s="10"/>
      <c r="U92" s="10"/>
      <c r="V92" s="10"/>
      <c r="W92" s="10"/>
      <c r="X92" s="10"/>
      <c r="Y92" s="10"/>
      <c r="Z92" s="10" t="s">
        <v>542</v>
      </c>
      <c r="AA92" s="10"/>
      <c r="AB92" s="10"/>
      <c r="AC92" s="10"/>
      <c r="AD92" s="10"/>
      <c r="AE92" s="10"/>
      <c r="AF92" s="10"/>
      <c r="AG92" s="10"/>
      <c r="AH92" s="10"/>
      <c r="AI92" s="10"/>
      <c r="AJ92" s="10"/>
      <c r="AK92" s="10"/>
      <c r="AL92" s="10"/>
      <c r="AM92" s="10"/>
      <c r="AN92" s="10"/>
      <c r="AO92" s="10"/>
      <c r="AP92" s="10"/>
      <c r="AQ92" s="10"/>
      <c r="AR92" s="10"/>
      <c r="AS92" s="10"/>
      <c r="AT92" s="10"/>
      <c r="AU92" s="237">
        <v>32956</v>
      </c>
      <c r="AV92" s="10">
        <v>2346</v>
      </c>
      <c r="AW92" s="10">
        <v>3025</v>
      </c>
      <c r="AX92" s="10">
        <v>3297</v>
      </c>
      <c r="AY92" s="10">
        <v>2250</v>
      </c>
      <c r="AZ92" s="67">
        <f t="shared" ref="AZ92:AZ99" si="22">SUM(AV92:AY92)</f>
        <v>10918</v>
      </c>
      <c r="BA92" s="67">
        <v>2642</v>
      </c>
      <c r="BB92" s="67">
        <v>2497</v>
      </c>
      <c r="BC92" s="67">
        <v>2487</v>
      </c>
      <c r="BD92" s="67">
        <v>2461</v>
      </c>
      <c r="BE92" s="67">
        <f>SUM(BA92:BD92)</f>
        <v>10087</v>
      </c>
      <c r="BF92" s="67">
        <v>2736</v>
      </c>
      <c r="BG92" s="67">
        <v>3326</v>
      </c>
      <c r="BH92" s="67"/>
      <c r="BI92" s="67"/>
      <c r="BJ92" s="67">
        <f t="shared" ref="BJ92:BJ99" si="23">SUM(BF92:BI92)</f>
        <v>6062</v>
      </c>
      <c r="BK92" s="67">
        <f>SUM(AZ92+BE92+BJ92)</f>
        <v>27067</v>
      </c>
      <c r="BL92" s="41">
        <f t="shared" ref="BL92:BL99" si="24">SUM(BK92/AU92)</f>
        <v>0.8213071974754218</v>
      </c>
      <c r="BM92" s="3">
        <v>18358000</v>
      </c>
      <c r="BN92" s="258" t="s">
        <v>662</v>
      </c>
      <c r="BO92" s="61">
        <f>1754+1754+1753+1753+719+719+720+720</f>
        <v>9892</v>
      </c>
    </row>
    <row r="93" spans="2:67" ht="29.25" customHeight="1" outlineLevel="1" x14ac:dyDescent="0.2">
      <c r="B93" s="48"/>
      <c r="C93" s="381"/>
      <c r="D93" s="381"/>
      <c r="E93" s="381"/>
      <c r="F93" s="59"/>
      <c r="G93" s="16" t="s">
        <v>46</v>
      </c>
      <c r="H93" s="8" t="s">
        <v>263</v>
      </c>
      <c r="I93" s="57">
        <v>20000</v>
      </c>
      <c r="J93" s="10" t="s">
        <v>353</v>
      </c>
      <c r="K93" s="10"/>
      <c r="L93" s="10"/>
      <c r="M93" s="10" t="s">
        <v>404</v>
      </c>
      <c r="N93" s="10"/>
      <c r="O93" s="10"/>
      <c r="P93" s="10"/>
      <c r="Q93" s="10"/>
      <c r="R93" s="10"/>
      <c r="S93" s="10"/>
      <c r="T93" s="10"/>
      <c r="U93" s="10"/>
      <c r="V93" s="10"/>
      <c r="W93" s="10"/>
      <c r="X93" s="10"/>
      <c r="Y93" s="10"/>
      <c r="Z93" s="10" t="s">
        <v>542</v>
      </c>
      <c r="AA93" s="10"/>
      <c r="AB93" s="10"/>
      <c r="AC93" s="10"/>
      <c r="AD93" s="10"/>
      <c r="AE93" s="10"/>
      <c r="AF93" s="10"/>
      <c r="AG93" s="10"/>
      <c r="AH93" s="10"/>
      <c r="AI93" s="10"/>
      <c r="AJ93" s="10"/>
      <c r="AK93" s="10"/>
      <c r="AL93" s="10"/>
      <c r="AM93" s="10"/>
      <c r="AN93" s="10"/>
      <c r="AO93" s="10"/>
      <c r="AP93" s="10"/>
      <c r="AQ93" s="10"/>
      <c r="AR93" s="10"/>
      <c r="AS93" s="10"/>
      <c r="AT93" s="10"/>
      <c r="AU93" s="238">
        <v>26256</v>
      </c>
      <c r="AV93" s="65">
        <v>1816</v>
      </c>
      <c r="AW93" s="65">
        <v>2237</v>
      </c>
      <c r="AX93" s="65">
        <v>2435</v>
      </c>
      <c r="AY93" s="65">
        <v>1587</v>
      </c>
      <c r="AZ93" s="65">
        <f t="shared" si="22"/>
        <v>8075</v>
      </c>
      <c r="BA93" s="65">
        <v>2015</v>
      </c>
      <c r="BB93" s="65">
        <v>1814</v>
      </c>
      <c r="BC93" s="65">
        <v>2227</v>
      </c>
      <c r="BD93" s="65">
        <v>1768</v>
      </c>
      <c r="BE93" s="65">
        <f t="shared" ref="BE93:BE99" si="25">SUM(BA93+BB93+BC93+BD93)</f>
        <v>7824</v>
      </c>
      <c r="BF93" s="65">
        <v>2365</v>
      </c>
      <c r="BG93" s="65">
        <v>2747</v>
      </c>
      <c r="BH93" s="65"/>
      <c r="BI93" s="65"/>
      <c r="BJ93" s="65">
        <f t="shared" si="23"/>
        <v>5112</v>
      </c>
      <c r="BK93" s="66">
        <f t="shared" ref="BK93:BK99" si="26">SUM(AZ93+BE93+BJ93)</f>
        <v>21011</v>
      </c>
      <c r="BL93" s="68">
        <f t="shared" si="24"/>
        <v>0.80023613650213288</v>
      </c>
      <c r="BM93" s="3"/>
      <c r="BN93" s="3"/>
      <c r="BO93" s="79"/>
    </row>
    <row r="94" spans="2:67" ht="46.5" customHeight="1" outlineLevel="1" x14ac:dyDescent="0.2">
      <c r="B94" s="48"/>
      <c r="C94" s="69"/>
      <c r="D94" s="70"/>
      <c r="E94" s="71"/>
      <c r="F94" s="116"/>
      <c r="G94" s="16" t="s">
        <v>47</v>
      </c>
      <c r="H94" s="8" t="s">
        <v>263</v>
      </c>
      <c r="I94" s="57">
        <v>1200</v>
      </c>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65">
        <v>1200</v>
      </c>
      <c r="AV94" s="65">
        <v>25</v>
      </c>
      <c r="AW94" s="65">
        <v>19</v>
      </c>
      <c r="AX94" s="65">
        <v>32</v>
      </c>
      <c r="AY94" s="65">
        <v>48</v>
      </c>
      <c r="AZ94" s="65">
        <f t="shared" si="22"/>
        <v>124</v>
      </c>
      <c r="BA94" s="65">
        <v>33</v>
      </c>
      <c r="BB94" s="65">
        <v>25</v>
      </c>
      <c r="BC94" s="65">
        <v>35</v>
      </c>
      <c r="BD94" s="65">
        <v>28</v>
      </c>
      <c r="BE94" s="125">
        <f t="shared" si="25"/>
        <v>121</v>
      </c>
      <c r="BF94" s="65">
        <v>29</v>
      </c>
      <c r="BG94" s="65">
        <v>14</v>
      </c>
      <c r="BH94" s="65"/>
      <c r="BI94" s="65"/>
      <c r="BJ94" s="65">
        <f t="shared" si="23"/>
        <v>43</v>
      </c>
      <c r="BK94" s="66">
        <f t="shared" si="26"/>
        <v>288</v>
      </c>
      <c r="BL94" s="68">
        <f t="shared" si="24"/>
        <v>0.24</v>
      </c>
      <c r="BM94" s="3"/>
      <c r="BN94" s="3"/>
      <c r="BO94" s="79"/>
    </row>
    <row r="95" spans="2:67" ht="46.5" customHeight="1" outlineLevel="1" x14ac:dyDescent="0.2">
      <c r="B95" s="48"/>
      <c r="C95" s="410"/>
      <c r="D95" s="411"/>
      <c r="E95" s="412"/>
      <c r="F95" s="64"/>
      <c r="G95" s="16" t="s">
        <v>48</v>
      </c>
      <c r="H95" s="8" t="s">
        <v>263</v>
      </c>
      <c r="I95" s="57">
        <v>5500</v>
      </c>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65">
        <v>5500</v>
      </c>
      <c r="AV95" s="65">
        <v>505</v>
      </c>
      <c r="AW95" s="65">
        <v>769</v>
      </c>
      <c r="AX95" s="65">
        <v>830</v>
      </c>
      <c r="AY95" s="65">
        <v>615</v>
      </c>
      <c r="AZ95" s="65">
        <f t="shared" si="22"/>
        <v>2719</v>
      </c>
      <c r="BA95" s="65">
        <v>594</v>
      </c>
      <c r="BB95" s="65">
        <v>658</v>
      </c>
      <c r="BC95" s="65">
        <v>225</v>
      </c>
      <c r="BD95" s="65">
        <v>665</v>
      </c>
      <c r="BE95" s="65">
        <f t="shared" si="25"/>
        <v>2142</v>
      </c>
      <c r="BF95" s="65">
        <v>342</v>
      </c>
      <c r="BG95" s="65">
        <v>535</v>
      </c>
      <c r="BH95" s="65"/>
      <c r="BI95" s="65"/>
      <c r="BJ95" s="65">
        <f t="shared" si="23"/>
        <v>877</v>
      </c>
      <c r="BK95" s="66">
        <v>5500</v>
      </c>
      <c r="BL95" s="299">
        <f t="shared" si="24"/>
        <v>1</v>
      </c>
      <c r="BM95" s="3"/>
      <c r="BN95" s="3"/>
      <c r="BO95" s="79"/>
    </row>
    <row r="96" spans="2:67" ht="53.25" customHeight="1" x14ac:dyDescent="0.2">
      <c r="B96" s="48"/>
      <c r="C96" s="469"/>
      <c r="D96" s="469"/>
      <c r="E96" s="469"/>
      <c r="F96" s="8"/>
      <c r="G96" s="16" t="s">
        <v>49</v>
      </c>
      <c r="H96" s="8" t="s">
        <v>263</v>
      </c>
      <c r="I96" s="57">
        <v>1800</v>
      </c>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65">
        <v>1800</v>
      </c>
      <c r="AV96" s="65">
        <v>124</v>
      </c>
      <c r="AW96" s="65">
        <v>134</v>
      </c>
      <c r="AX96" s="65">
        <v>169</v>
      </c>
      <c r="AY96" s="65">
        <v>200</v>
      </c>
      <c r="AZ96" s="66">
        <f t="shared" si="22"/>
        <v>627</v>
      </c>
      <c r="BA96" s="66">
        <v>139</v>
      </c>
      <c r="BB96" s="66">
        <v>152</v>
      </c>
      <c r="BC96" s="66">
        <v>158</v>
      </c>
      <c r="BD96" s="66">
        <v>123</v>
      </c>
      <c r="BE96" s="66">
        <f t="shared" si="25"/>
        <v>572</v>
      </c>
      <c r="BF96" s="66">
        <v>167</v>
      </c>
      <c r="BG96" s="66">
        <v>134</v>
      </c>
      <c r="BH96" s="66"/>
      <c r="BI96" s="66"/>
      <c r="BJ96" s="66">
        <f t="shared" si="23"/>
        <v>301</v>
      </c>
      <c r="BK96" s="66">
        <f t="shared" si="26"/>
        <v>1500</v>
      </c>
      <c r="BL96" s="68">
        <f t="shared" si="24"/>
        <v>0.83333333333333337</v>
      </c>
      <c r="BM96" s="10" t="s">
        <v>184</v>
      </c>
      <c r="BN96" s="7"/>
    </row>
    <row r="97" spans="2:68" ht="29.25" customHeight="1" x14ac:dyDescent="0.2">
      <c r="B97" s="48"/>
      <c r="C97" s="460"/>
      <c r="D97" s="461"/>
      <c r="E97" s="462"/>
      <c r="F97" s="31"/>
      <c r="G97" s="16" t="s">
        <v>50</v>
      </c>
      <c r="H97" s="8" t="s">
        <v>25</v>
      </c>
      <c r="I97" s="65">
        <v>12720</v>
      </c>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v>12720</v>
      </c>
      <c r="AV97" s="65">
        <v>951</v>
      </c>
      <c r="AW97" s="65">
        <v>887</v>
      </c>
      <c r="AX97" s="65">
        <v>1146</v>
      </c>
      <c r="AY97" s="65">
        <v>1327</v>
      </c>
      <c r="AZ97" s="66">
        <f t="shared" si="22"/>
        <v>4311</v>
      </c>
      <c r="BA97" s="66">
        <v>1766</v>
      </c>
      <c r="BB97" s="66">
        <v>1143</v>
      </c>
      <c r="BC97" s="66">
        <v>1360</v>
      </c>
      <c r="BD97" s="66">
        <v>1011</v>
      </c>
      <c r="BE97" s="66">
        <f t="shared" si="25"/>
        <v>5280</v>
      </c>
      <c r="BF97" s="66">
        <v>966</v>
      </c>
      <c r="BG97" s="66">
        <v>1176</v>
      </c>
      <c r="BH97" s="66"/>
      <c r="BI97" s="66"/>
      <c r="BJ97" s="66">
        <f t="shared" si="23"/>
        <v>2142</v>
      </c>
      <c r="BK97" s="66">
        <f t="shared" si="26"/>
        <v>11733</v>
      </c>
      <c r="BL97" s="68">
        <f t="shared" si="24"/>
        <v>0.92240566037735849</v>
      </c>
      <c r="BM97" s="10"/>
      <c r="BN97" s="10"/>
    </row>
    <row r="98" spans="2:68" ht="30.75" customHeight="1" x14ac:dyDescent="0.2">
      <c r="B98" s="48"/>
      <c r="C98" s="460"/>
      <c r="D98" s="461"/>
      <c r="E98" s="462"/>
      <c r="F98" s="31"/>
      <c r="G98" s="16" t="s">
        <v>214</v>
      </c>
      <c r="H98" s="8" t="s">
        <v>25</v>
      </c>
      <c r="I98" s="65">
        <v>20400</v>
      </c>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v>20400</v>
      </c>
      <c r="AV98" s="65">
        <v>1654</v>
      </c>
      <c r="AW98" s="65">
        <v>1977</v>
      </c>
      <c r="AX98" s="65">
        <v>2172</v>
      </c>
      <c r="AY98" s="65">
        <v>2241</v>
      </c>
      <c r="AZ98" s="66">
        <f t="shared" si="22"/>
        <v>8044</v>
      </c>
      <c r="BA98" s="66">
        <v>2658</v>
      </c>
      <c r="BB98" s="66">
        <v>1372</v>
      </c>
      <c r="BC98" s="66">
        <v>2492</v>
      </c>
      <c r="BD98" s="66">
        <v>2074</v>
      </c>
      <c r="BE98" s="66">
        <f t="shared" si="25"/>
        <v>8596</v>
      </c>
      <c r="BF98" s="66">
        <v>2232</v>
      </c>
      <c r="BG98" s="66">
        <v>2593</v>
      </c>
      <c r="BH98" s="66"/>
      <c r="BI98" s="66"/>
      <c r="BJ98" s="66">
        <f t="shared" si="23"/>
        <v>4825</v>
      </c>
      <c r="BK98" s="66">
        <v>20400</v>
      </c>
      <c r="BL98" s="284">
        <f t="shared" si="24"/>
        <v>1</v>
      </c>
      <c r="BM98" s="17"/>
      <c r="BN98" s="17"/>
    </row>
    <row r="99" spans="2:68" ht="20.25" customHeight="1" x14ac:dyDescent="0.2">
      <c r="B99" s="48"/>
      <c r="C99" s="460"/>
      <c r="D99" s="461"/>
      <c r="E99" s="462"/>
      <c r="F99" s="31"/>
      <c r="G99" s="16" t="s">
        <v>147</v>
      </c>
      <c r="H99" s="8" t="s">
        <v>25</v>
      </c>
      <c r="I99" s="65">
        <v>4780</v>
      </c>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6">
        <v>4780</v>
      </c>
      <c r="AV99" s="65">
        <v>288</v>
      </c>
      <c r="AW99" s="65">
        <v>336</v>
      </c>
      <c r="AX99" s="65">
        <v>387</v>
      </c>
      <c r="AY99" s="65">
        <v>372</v>
      </c>
      <c r="AZ99" s="66">
        <f t="shared" si="22"/>
        <v>1383</v>
      </c>
      <c r="BA99" s="66">
        <v>419</v>
      </c>
      <c r="BB99" s="66">
        <v>372</v>
      </c>
      <c r="BC99" s="66">
        <v>357</v>
      </c>
      <c r="BD99" s="66">
        <v>343</v>
      </c>
      <c r="BE99" s="66">
        <f t="shared" si="25"/>
        <v>1491</v>
      </c>
      <c r="BF99" s="66">
        <v>331</v>
      </c>
      <c r="BG99" s="66">
        <v>302</v>
      </c>
      <c r="BH99" s="66"/>
      <c r="BI99" s="66"/>
      <c r="BJ99" s="66">
        <f t="shared" si="23"/>
        <v>633</v>
      </c>
      <c r="BK99" s="66">
        <f t="shared" si="26"/>
        <v>3507</v>
      </c>
      <c r="BL99" s="68">
        <f t="shared" si="24"/>
        <v>0.73368200836820086</v>
      </c>
      <c r="BM99" s="17"/>
      <c r="BN99" s="17"/>
    </row>
    <row r="100" spans="2:68" ht="16.5" customHeight="1" x14ac:dyDescent="0.2">
      <c r="B100" s="429" t="s">
        <v>104</v>
      </c>
      <c r="C100" s="430"/>
      <c r="D100" s="430"/>
      <c r="E100" s="430"/>
      <c r="F100" s="430"/>
      <c r="G100" s="430"/>
      <c r="H100" s="430"/>
      <c r="I100" s="430"/>
      <c r="J100" s="430"/>
      <c r="K100" s="430"/>
      <c r="L100" s="430"/>
      <c r="M100" s="430"/>
      <c r="N100" s="430"/>
      <c r="O100" s="430"/>
      <c r="P100" s="430"/>
      <c r="Q100" s="430"/>
      <c r="R100" s="430"/>
      <c r="S100" s="430"/>
      <c r="T100" s="430"/>
      <c r="U100" s="430"/>
      <c r="V100" s="430"/>
      <c r="W100" s="430"/>
      <c r="X100" s="430"/>
      <c r="Y100" s="430"/>
      <c r="Z100" s="430"/>
      <c r="AA100" s="430"/>
      <c r="AB100" s="430"/>
      <c r="AC100" s="430"/>
      <c r="AD100" s="430"/>
      <c r="AE100" s="430"/>
      <c r="AF100" s="430"/>
      <c r="AG100" s="430"/>
      <c r="AH100" s="430"/>
      <c r="AI100" s="430"/>
      <c r="AJ100" s="430"/>
      <c r="AK100" s="430"/>
      <c r="AL100" s="430"/>
      <c r="AM100" s="430"/>
      <c r="AN100" s="430"/>
      <c r="AO100" s="430"/>
      <c r="AP100" s="430"/>
      <c r="AQ100" s="430"/>
      <c r="AR100" s="430"/>
      <c r="AS100" s="430"/>
      <c r="AT100" s="430"/>
      <c r="AU100" s="430"/>
      <c r="AV100" s="430"/>
      <c r="AW100" s="430"/>
      <c r="AX100" s="430"/>
      <c r="AY100" s="430"/>
      <c r="AZ100" s="430"/>
      <c r="BA100" s="430"/>
      <c r="BB100" s="430"/>
      <c r="BC100" s="430"/>
      <c r="BD100" s="430"/>
      <c r="BE100" s="430"/>
      <c r="BF100" s="430"/>
      <c r="BG100" s="430"/>
      <c r="BH100" s="430"/>
      <c r="BI100" s="430"/>
      <c r="BJ100" s="430"/>
      <c r="BK100" s="430"/>
      <c r="BL100" s="430"/>
      <c r="BM100" s="430"/>
      <c r="BN100" s="213"/>
    </row>
    <row r="101" spans="2:68" ht="13.5" customHeight="1" x14ac:dyDescent="0.2">
      <c r="B101" s="387" t="s">
        <v>102</v>
      </c>
      <c r="C101" s="387"/>
      <c r="D101" s="387"/>
      <c r="E101" s="387"/>
      <c r="F101" s="463" t="s">
        <v>105</v>
      </c>
      <c r="G101" s="463"/>
      <c r="H101" s="463"/>
      <c r="I101" s="463"/>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463"/>
      <c r="AK101" s="463"/>
      <c r="AL101" s="463"/>
      <c r="AM101" s="463"/>
      <c r="AN101" s="463"/>
      <c r="AO101" s="463"/>
      <c r="AP101" s="463"/>
      <c r="AQ101" s="463"/>
      <c r="AR101" s="463"/>
      <c r="AS101" s="463"/>
      <c r="AT101" s="463"/>
      <c r="AU101" s="463"/>
      <c r="AV101" s="463"/>
      <c r="AW101" s="463"/>
      <c r="AX101" s="463"/>
      <c r="AY101" s="463"/>
      <c r="AZ101" s="463"/>
      <c r="BA101" s="463"/>
      <c r="BB101" s="463"/>
      <c r="BC101" s="463"/>
      <c r="BD101" s="463"/>
      <c r="BE101" s="463"/>
      <c r="BF101" s="463"/>
      <c r="BG101" s="463"/>
      <c r="BH101" s="463"/>
      <c r="BI101" s="463"/>
      <c r="BJ101" s="463"/>
      <c r="BK101" s="463"/>
      <c r="BL101" s="463"/>
      <c r="BM101" s="463"/>
      <c r="BN101" s="463"/>
    </row>
    <row r="102" spans="2:68" ht="15" customHeight="1" x14ac:dyDescent="0.2">
      <c r="B102" s="387" t="s">
        <v>103</v>
      </c>
      <c r="C102" s="387"/>
      <c r="D102" s="387"/>
      <c r="E102" s="387"/>
      <c r="F102" s="537" t="s">
        <v>210</v>
      </c>
      <c r="G102" s="537"/>
      <c r="H102" s="537"/>
      <c r="I102" s="537"/>
      <c r="J102" s="537"/>
      <c r="K102" s="537"/>
      <c r="L102" s="537"/>
      <c r="M102" s="537"/>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537"/>
      <c r="AK102" s="537"/>
      <c r="AL102" s="537"/>
      <c r="AM102" s="537"/>
      <c r="AN102" s="537"/>
      <c r="AO102" s="537"/>
      <c r="AP102" s="537"/>
      <c r="AQ102" s="537"/>
      <c r="AR102" s="537"/>
      <c r="AS102" s="537"/>
      <c r="AT102" s="537"/>
      <c r="AU102" s="537"/>
      <c r="AV102" s="537"/>
      <c r="AW102" s="537"/>
      <c r="AX102" s="537"/>
      <c r="AY102" s="537"/>
      <c r="AZ102" s="537"/>
      <c r="BA102" s="537"/>
      <c r="BB102" s="537"/>
      <c r="BC102" s="537"/>
      <c r="BD102" s="537"/>
      <c r="BE102" s="537"/>
      <c r="BF102" s="537"/>
      <c r="BG102" s="537"/>
      <c r="BH102" s="537"/>
      <c r="BI102" s="537"/>
      <c r="BJ102" s="537"/>
      <c r="BK102" s="537"/>
      <c r="BL102" s="537"/>
      <c r="BM102" s="537"/>
      <c r="BN102" s="537"/>
    </row>
    <row r="103" spans="2:68" ht="12.75" customHeight="1" x14ac:dyDescent="0.2">
      <c r="B103" s="88"/>
      <c r="C103" s="413" t="s">
        <v>235</v>
      </c>
      <c r="D103" s="414"/>
      <c r="E103" s="414"/>
      <c r="F103" s="414"/>
      <c r="G103" s="414"/>
      <c r="H103" s="414"/>
      <c r="I103" s="414"/>
      <c r="J103" s="414"/>
      <c r="K103" s="414"/>
      <c r="L103" s="414"/>
      <c r="M103" s="414"/>
      <c r="N103" s="414"/>
      <c r="O103" s="414"/>
      <c r="P103" s="414"/>
      <c r="Q103" s="414"/>
      <c r="R103" s="414"/>
      <c r="S103" s="414"/>
      <c r="T103" s="414"/>
      <c r="U103" s="414"/>
      <c r="V103" s="414"/>
      <c r="W103" s="414"/>
      <c r="X103" s="414"/>
      <c r="Y103" s="414"/>
      <c r="Z103" s="414"/>
      <c r="AA103" s="414"/>
      <c r="AB103" s="414"/>
      <c r="AC103" s="414"/>
      <c r="AD103" s="414"/>
      <c r="AE103" s="414"/>
      <c r="AF103" s="414"/>
      <c r="AG103" s="414"/>
      <c r="AH103" s="414"/>
      <c r="AI103" s="414"/>
      <c r="AJ103" s="414"/>
      <c r="AK103" s="414"/>
      <c r="AL103" s="414"/>
      <c r="AM103" s="414"/>
      <c r="AN103" s="414"/>
      <c r="AO103" s="414"/>
      <c r="AP103" s="414"/>
      <c r="AQ103" s="414"/>
      <c r="AR103" s="414"/>
      <c r="AS103" s="414"/>
      <c r="AT103" s="414"/>
      <c r="AU103" s="414"/>
      <c r="AV103" s="414"/>
      <c r="AW103" s="414"/>
      <c r="AX103" s="414"/>
      <c r="AY103" s="414"/>
      <c r="AZ103" s="414"/>
      <c r="BA103" s="414"/>
      <c r="BB103" s="414"/>
      <c r="BC103" s="414"/>
      <c r="BD103" s="414"/>
      <c r="BE103" s="414"/>
      <c r="BF103" s="414"/>
      <c r="BG103" s="414"/>
      <c r="BH103" s="414"/>
      <c r="BI103" s="414"/>
      <c r="BJ103" s="414"/>
      <c r="BK103" s="414"/>
      <c r="BL103" s="414"/>
      <c r="BM103" s="414"/>
      <c r="BN103" s="415"/>
    </row>
    <row r="104" spans="2:68" ht="50.25" customHeight="1" x14ac:dyDescent="0.2">
      <c r="B104" s="184" t="s">
        <v>139</v>
      </c>
      <c r="C104" s="401" t="s">
        <v>94</v>
      </c>
      <c r="D104" s="402"/>
      <c r="E104" s="403"/>
      <c r="F104" s="185" t="s">
        <v>95</v>
      </c>
      <c r="G104" s="186" t="s">
        <v>4</v>
      </c>
      <c r="H104" s="187" t="s">
        <v>3</v>
      </c>
      <c r="I104" s="188" t="s">
        <v>96</v>
      </c>
      <c r="J104" s="207" t="s">
        <v>494</v>
      </c>
      <c r="K104" s="207" t="s">
        <v>495</v>
      </c>
      <c r="L104" s="207" t="s">
        <v>380</v>
      </c>
      <c r="M104" s="208" t="s">
        <v>381</v>
      </c>
      <c r="N104" s="207" t="s">
        <v>517</v>
      </c>
      <c r="O104" s="207" t="s">
        <v>518</v>
      </c>
      <c r="P104" s="207" t="s">
        <v>490</v>
      </c>
      <c r="Q104" s="208" t="s">
        <v>491</v>
      </c>
      <c r="R104" s="208" t="s">
        <v>492</v>
      </c>
      <c r="S104" s="208" t="s">
        <v>493</v>
      </c>
      <c r="T104" s="208" t="s">
        <v>519</v>
      </c>
      <c r="U104" s="208" t="s">
        <v>523</v>
      </c>
      <c r="V104" s="208" t="s">
        <v>525</v>
      </c>
      <c r="W104" s="208" t="s">
        <v>571</v>
      </c>
      <c r="X104" s="208" t="s">
        <v>538</v>
      </c>
      <c r="Y104" s="208" t="s">
        <v>553</v>
      </c>
      <c r="Z104" s="208" t="s">
        <v>554</v>
      </c>
      <c r="AA104" s="307" t="s">
        <v>581</v>
      </c>
      <c r="AB104" s="208" t="s">
        <v>570</v>
      </c>
      <c r="AC104" s="307" t="s">
        <v>564</v>
      </c>
      <c r="AD104" s="307" t="s">
        <v>582</v>
      </c>
      <c r="AE104" s="309" t="s">
        <v>578</v>
      </c>
      <c r="AF104" s="307" t="s">
        <v>635</v>
      </c>
      <c r="AG104" s="307" t="s">
        <v>590</v>
      </c>
      <c r="AH104" s="307" t="s">
        <v>606</v>
      </c>
      <c r="AI104" s="307" t="s">
        <v>636</v>
      </c>
      <c r="AJ104" s="307" t="s">
        <v>623</v>
      </c>
      <c r="AK104" s="307" t="s">
        <v>628</v>
      </c>
      <c r="AL104" s="307" t="s">
        <v>637</v>
      </c>
      <c r="AM104" s="307" t="s">
        <v>641</v>
      </c>
      <c r="AN104" s="307" t="s">
        <v>643</v>
      </c>
      <c r="AO104" s="307" t="s">
        <v>646</v>
      </c>
      <c r="AP104" s="307" t="s">
        <v>650</v>
      </c>
      <c r="AQ104" s="307" t="s">
        <v>689</v>
      </c>
      <c r="AR104" s="307" t="s">
        <v>697</v>
      </c>
      <c r="AS104" s="307" t="s">
        <v>725</v>
      </c>
      <c r="AT104" s="307" t="s">
        <v>729</v>
      </c>
      <c r="AU104" s="188" t="s">
        <v>150</v>
      </c>
      <c r="AV104" s="1" t="s">
        <v>5</v>
      </c>
      <c r="AW104" s="1" t="s">
        <v>6</v>
      </c>
      <c r="AX104" s="1" t="s">
        <v>7</v>
      </c>
      <c r="AY104" s="1" t="s">
        <v>8</v>
      </c>
      <c r="AZ104" s="34" t="s">
        <v>157</v>
      </c>
      <c r="BA104" s="2" t="s">
        <v>9</v>
      </c>
      <c r="BB104" s="2" t="s">
        <v>10</v>
      </c>
      <c r="BC104" s="2" t="s">
        <v>11</v>
      </c>
      <c r="BD104" s="2" t="s">
        <v>12</v>
      </c>
      <c r="BE104" s="34" t="s">
        <v>158</v>
      </c>
      <c r="BF104" s="2" t="s">
        <v>13</v>
      </c>
      <c r="BG104" s="2" t="s">
        <v>14</v>
      </c>
      <c r="BH104" s="2" t="s">
        <v>15</v>
      </c>
      <c r="BI104" s="2" t="s">
        <v>16</v>
      </c>
      <c r="BJ104" s="34" t="s">
        <v>159</v>
      </c>
      <c r="BK104" s="189" t="s">
        <v>97</v>
      </c>
      <c r="BL104" s="189" t="s">
        <v>98</v>
      </c>
      <c r="BM104" s="190" t="s">
        <v>256</v>
      </c>
      <c r="BN104" s="189" t="s">
        <v>99</v>
      </c>
    </row>
    <row r="105" spans="2:68" ht="58.5" customHeight="1" x14ac:dyDescent="0.2">
      <c r="B105" s="30">
        <v>4</v>
      </c>
      <c r="C105" s="470" t="s">
        <v>361</v>
      </c>
      <c r="D105" s="470"/>
      <c r="E105" s="470"/>
      <c r="F105" s="64"/>
      <c r="G105" s="78"/>
      <c r="H105" s="74" t="s">
        <v>23</v>
      </c>
      <c r="I105" s="7">
        <v>6</v>
      </c>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10">
        <v>6</v>
      </c>
      <c r="AV105" s="108" t="s">
        <v>211</v>
      </c>
      <c r="AW105" s="108" t="s">
        <v>211</v>
      </c>
      <c r="AX105" s="10">
        <v>1</v>
      </c>
      <c r="AY105" s="10">
        <v>1</v>
      </c>
      <c r="AZ105" s="108" t="s">
        <v>360</v>
      </c>
      <c r="BA105" s="67">
        <v>1</v>
      </c>
      <c r="BB105" s="67">
        <v>1</v>
      </c>
      <c r="BC105" s="108" t="s">
        <v>211</v>
      </c>
      <c r="BD105" s="67">
        <v>1</v>
      </c>
      <c r="BE105" s="67">
        <f t="shared" ref="BE105:BE111" si="27">SUM(BA105+BB105+BC105+BD105)</f>
        <v>3</v>
      </c>
      <c r="BF105" s="107" t="s">
        <v>211</v>
      </c>
      <c r="BG105" s="10">
        <v>1</v>
      </c>
      <c r="BH105" s="67"/>
      <c r="BI105" s="108"/>
      <c r="BJ105" s="67">
        <f>SUM(BF105:BI105)</f>
        <v>1</v>
      </c>
      <c r="BK105" s="108">
        <f>SUM(AZ105+BE105+BJ105)</f>
        <v>6</v>
      </c>
      <c r="BL105" s="298">
        <f t="shared" ref="BL105:BL111" si="28">SUM(BK105/AU105)</f>
        <v>1</v>
      </c>
      <c r="BM105" s="3">
        <v>2723832</v>
      </c>
      <c r="BN105" s="236" t="s">
        <v>663</v>
      </c>
    </row>
    <row r="106" spans="2:68" ht="55.5" customHeight="1" x14ac:dyDescent="0.2">
      <c r="B106" s="30"/>
      <c r="C106" s="410"/>
      <c r="D106" s="411"/>
      <c r="E106" s="412"/>
      <c r="F106" s="64" t="s">
        <v>361</v>
      </c>
      <c r="G106" s="78"/>
      <c r="H106" s="74" t="s">
        <v>23</v>
      </c>
      <c r="I106" s="100">
        <v>6</v>
      </c>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
        <v>6</v>
      </c>
      <c r="AV106" s="108" t="s">
        <v>211</v>
      </c>
      <c r="AW106" s="108" t="s">
        <v>211</v>
      </c>
      <c r="AX106" s="10">
        <v>1</v>
      </c>
      <c r="AY106" s="10">
        <v>1</v>
      </c>
      <c r="AZ106" s="108" t="s">
        <v>360</v>
      </c>
      <c r="BA106" s="67">
        <v>1</v>
      </c>
      <c r="BB106" s="67">
        <v>1</v>
      </c>
      <c r="BC106" s="108" t="s">
        <v>211</v>
      </c>
      <c r="BD106" s="67">
        <v>1</v>
      </c>
      <c r="BE106" s="67">
        <f t="shared" si="27"/>
        <v>3</v>
      </c>
      <c r="BF106" s="107" t="s">
        <v>211</v>
      </c>
      <c r="BG106" s="10">
        <v>1</v>
      </c>
      <c r="BH106" s="67"/>
      <c r="BI106" s="108"/>
      <c r="BJ106" s="107" t="s">
        <v>362</v>
      </c>
      <c r="BK106" s="108">
        <f>SUM(AZ106+BE106+BJ106)</f>
        <v>6</v>
      </c>
      <c r="BL106" s="298">
        <f t="shared" si="28"/>
        <v>1</v>
      </c>
      <c r="BM106" s="53"/>
      <c r="BN106" s="64"/>
    </row>
    <row r="107" spans="2:68" ht="46.5" customHeight="1" x14ac:dyDescent="0.2">
      <c r="B107" s="48"/>
      <c r="C107" s="469"/>
      <c r="D107" s="469"/>
      <c r="E107" s="469"/>
      <c r="F107" s="80"/>
      <c r="G107" s="58" t="s">
        <v>156</v>
      </c>
      <c r="H107" s="75" t="s">
        <v>19</v>
      </c>
      <c r="I107" s="38">
        <v>6</v>
      </c>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65">
        <v>6</v>
      </c>
      <c r="AV107" s="107" t="s">
        <v>211</v>
      </c>
      <c r="AW107" s="107" t="s">
        <v>211</v>
      </c>
      <c r="AX107" s="65">
        <v>1</v>
      </c>
      <c r="AY107" s="65">
        <v>1</v>
      </c>
      <c r="AZ107" s="107" t="s">
        <v>360</v>
      </c>
      <c r="BA107" s="66">
        <v>1</v>
      </c>
      <c r="BB107" s="66">
        <v>1</v>
      </c>
      <c r="BC107" s="107" t="s">
        <v>211</v>
      </c>
      <c r="BD107" s="66">
        <v>1</v>
      </c>
      <c r="BE107" s="66">
        <f t="shared" si="27"/>
        <v>3</v>
      </c>
      <c r="BF107" s="107" t="s">
        <v>211</v>
      </c>
      <c r="BG107" s="65">
        <v>1</v>
      </c>
      <c r="BH107" s="66"/>
      <c r="BI107" s="107"/>
      <c r="BJ107" s="107" t="s">
        <v>362</v>
      </c>
      <c r="BK107" s="107" t="s">
        <v>472</v>
      </c>
      <c r="BL107" s="284">
        <f t="shared" si="28"/>
        <v>1</v>
      </c>
      <c r="BM107" s="12"/>
      <c r="BN107" s="12"/>
    </row>
    <row r="108" spans="2:68" ht="70.5" customHeight="1" x14ac:dyDescent="0.2">
      <c r="B108" s="48"/>
      <c r="C108" s="469"/>
      <c r="D108" s="469"/>
      <c r="E108" s="469"/>
      <c r="F108" s="78"/>
      <c r="G108" s="58" t="s">
        <v>264</v>
      </c>
      <c r="H108" s="74" t="s">
        <v>19</v>
      </c>
      <c r="I108" s="89">
        <v>6</v>
      </c>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65">
        <v>6</v>
      </c>
      <c r="AV108" s="107" t="s">
        <v>211</v>
      </c>
      <c r="AW108" s="107" t="s">
        <v>211</v>
      </c>
      <c r="AX108" s="65">
        <v>1</v>
      </c>
      <c r="AY108" s="65">
        <v>1</v>
      </c>
      <c r="AZ108" s="107" t="s">
        <v>360</v>
      </c>
      <c r="BA108" s="66">
        <v>1</v>
      </c>
      <c r="BB108" s="66">
        <v>1</v>
      </c>
      <c r="BC108" s="107" t="s">
        <v>211</v>
      </c>
      <c r="BD108" s="66">
        <v>1</v>
      </c>
      <c r="BE108" s="66">
        <f t="shared" si="27"/>
        <v>3</v>
      </c>
      <c r="BF108" s="107" t="s">
        <v>211</v>
      </c>
      <c r="BG108" s="65">
        <v>1</v>
      </c>
      <c r="BH108" s="66"/>
      <c r="BI108" s="107"/>
      <c r="BJ108" s="107" t="s">
        <v>362</v>
      </c>
      <c r="BK108" s="107" t="s">
        <v>472</v>
      </c>
      <c r="BL108" s="284">
        <f t="shared" ref="BL108:BL109" si="29">SUM(BK108/AU108)</f>
        <v>1</v>
      </c>
      <c r="BM108" s="12"/>
      <c r="BN108" s="12"/>
    </row>
    <row r="109" spans="2:68" ht="71.25" customHeight="1" x14ac:dyDescent="0.2">
      <c r="B109" s="48"/>
      <c r="C109" s="469"/>
      <c r="D109" s="469"/>
      <c r="E109" s="469"/>
      <c r="F109" s="78"/>
      <c r="G109" s="58" t="s">
        <v>265</v>
      </c>
      <c r="H109" s="76" t="s">
        <v>19</v>
      </c>
      <c r="I109" s="90">
        <v>6</v>
      </c>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65">
        <v>6</v>
      </c>
      <c r="AV109" s="107" t="s">
        <v>211</v>
      </c>
      <c r="AW109" s="107" t="s">
        <v>211</v>
      </c>
      <c r="AX109" s="65">
        <v>1</v>
      </c>
      <c r="AY109" s="65">
        <v>1</v>
      </c>
      <c r="AZ109" s="107" t="s">
        <v>360</v>
      </c>
      <c r="BA109" s="66">
        <v>1</v>
      </c>
      <c r="BB109" s="66">
        <v>1</v>
      </c>
      <c r="BC109" s="107" t="s">
        <v>211</v>
      </c>
      <c r="BD109" s="66">
        <v>1</v>
      </c>
      <c r="BE109" s="66">
        <f t="shared" si="27"/>
        <v>3</v>
      </c>
      <c r="BF109" s="107" t="s">
        <v>211</v>
      </c>
      <c r="BG109" s="65">
        <v>1</v>
      </c>
      <c r="BH109" s="66"/>
      <c r="BI109" s="107"/>
      <c r="BJ109" s="107" t="s">
        <v>362</v>
      </c>
      <c r="BK109" s="107" t="s">
        <v>472</v>
      </c>
      <c r="BL109" s="284">
        <f t="shared" si="29"/>
        <v>1</v>
      </c>
      <c r="BM109" s="12"/>
      <c r="BN109" s="12"/>
    </row>
    <row r="110" spans="2:68" ht="96.75" customHeight="1" x14ac:dyDescent="0.2">
      <c r="B110" s="48"/>
      <c r="C110" s="174"/>
      <c r="D110" s="175"/>
      <c r="E110" s="176"/>
      <c r="F110" s="4"/>
      <c r="G110" s="148" t="s">
        <v>266</v>
      </c>
      <c r="H110" s="77" t="s">
        <v>24</v>
      </c>
      <c r="I110" s="8">
        <v>500</v>
      </c>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t="s">
        <v>649</v>
      </c>
      <c r="AP110" s="8"/>
      <c r="AQ110" s="8"/>
      <c r="AR110" s="8"/>
      <c r="AS110" s="8"/>
      <c r="AT110" s="8"/>
      <c r="AU110" s="238">
        <v>2837</v>
      </c>
      <c r="AV110" s="107" t="s">
        <v>211</v>
      </c>
      <c r="AW110" s="107" t="s">
        <v>211</v>
      </c>
      <c r="AX110" s="107" t="s">
        <v>211</v>
      </c>
      <c r="AY110" s="65">
        <v>18</v>
      </c>
      <c r="AZ110" s="107" t="s">
        <v>506</v>
      </c>
      <c r="BA110" s="66">
        <v>435</v>
      </c>
      <c r="BB110" s="66">
        <v>384</v>
      </c>
      <c r="BC110" s="107" t="s">
        <v>211</v>
      </c>
      <c r="BD110" s="66">
        <v>284</v>
      </c>
      <c r="BE110" s="66">
        <f>SUM(BA110:BD110)</f>
        <v>1103</v>
      </c>
      <c r="BF110" s="66">
        <v>455</v>
      </c>
      <c r="BG110" s="65">
        <v>394</v>
      </c>
      <c r="BH110" s="107"/>
      <c r="BI110" s="107"/>
      <c r="BJ110" s="66">
        <v>869</v>
      </c>
      <c r="BK110" s="107">
        <f>SUM(AZ110+BE110+BJ110)</f>
        <v>1990</v>
      </c>
      <c r="BL110" s="68">
        <f t="shared" si="28"/>
        <v>0.70144518857948535</v>
      </c>
      <c r="BM110" s="107"/>
      <c r="BN110" s="12"/>
      <c r="BP110" s="376"/>
    </row>
    <row r="111" spans="2:68" ht="81.75" customHeight="1" x14ac:dyDescent="0.2">
      <c r="B111" s="48"/>
      <c r="C111" s="469"/>
      <c r="D111" s="469"/>
      <c r="E111" s="469"/>
      <c r="F111" s="4"/>
      <c r="G111" s="58" t="s">
        <v>160</v>
      </c>
      <c r="H111" s="8" t="s">
        <v>27</v>
      </c>
      <c r="I111" s="8">
        <v>1</v>
      </c>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65">
        <v>1</v>
      </c>
      <c r="AV111" s="107" t="s">
        <v>211</v>
      </c>
      <c r="AW111" s="107" t="s">
        <v>211</v>
      </c>
      <c r="AX111" s="107" t="s">
        <v>211</v>
      </c>
      <c r="AY111" s="107" t="s">
        <v>211</v>
      </c>
      <c r="AZ111" s="107" t="s">
        <v>211</v>
      </c>
      <c r="BA111" s="107" t="s">
        <v>211</v>
      </c>
      <c r="BB111" s="107" t="s">
        <v>211</v>
      </c>
      <c r="BC111" s="66">
        <v>1</v>
      </c>
      <c r="BD111" s="107" t="s">
        <v>211</v>
      </c>
      <c r="BE111" s="107">
        <f t="shared" si="27"/>
        <v>1</v>
      </c>
      <c r="BF111" s="107" t="s">
        <v>211</v>
      </c>
      <c r="BG111" s="107" t="s">
        <v>211</v>
      </c>
      <c r="BH111" s="107"/>
      <c r="BI111" s="107"/>
      <c r="BJ111" s="107" t="s">
        <v>211</v>
      </c>
      <c r="BK111" s="107" t="s">
        <v>362</v>
      </c>
      <c r="BL111" s="261">
        <f t="shared" si="28"/>
        <v>1</v>
      </c>
      <c r="BM111" s="12"/>
      <c r="BN111" s="12"/>
    </row>
    <row r="112" spans="2:68" ht="15" customHeight="1" x14ac:dyDescent="0.2">
      <c r="B112" s="407" t="s">
        <v>213</v>
      </c>
      <c r="C112" s="408"/>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c r="AI112" s="408"/>
      <c r="AJ112" s="408"/>
      <c r="AK112" s="408"/>
      <c r="AL112" s="408"/>
      <c r="AM112" s="408"/>
      <c r="AN112" s="408"/>
      <c r="AO112" s="408"/>
      <c r="AP112" s="408"/>
      <c r="AQ112" s="408"/>
      <c r="AR112" s="408"/>
      <c r="AS112" s="408"/>
      <c r="AT112" s="408"/>
      <c r="AU112" s="408"/>
      <c r="AV112" s="408"/>
      <c r="AW112" s="408"/>
      <c r="AX112" s="408"/>
      <c r="AY112" s="408"/>
      <c r="AZ112" s="408"/>
      <c r="BA112" s="408"/>
      <c r="BB112" s="408"/>
      <c r="BC112" s="408"/>
      <c r="BD112" s="408"/>
      <c r="BE112" s="408"/>
      <c r="BF112" s="408"/>
      <c r="BG112" s="408"/>
      <c r="BH112" s="408"/>
      <c r="BI112" s="408"/>
      <c r="BJ112" s="408"/>
      <c r="BK112" s="408"/>
      <c r="BL112" s="408"/>
      <c r="BM112" s="408"/>
      <c r="BN112" s="409"/>
    </row>
    <row r="113" spans="1:67" s="181" customFormat="1" ht="18" customHeight="1" x14ac:dyDescent="0.2">
      <c r="B113" s="426" t="s">
        <v>100</v>
      </c>
      <c r="C113" s="426"/>
      <c r="D113" s="426"/>
      <c r="E113" s="426"/>
      <c r="F113" s="416" t="s">
        <v>110</v>
      </c>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17"/>
      <c r="AF113" s="417"/>
      <c r="AG113" s="417"/>
      <c r="AH113" s="417"/>
      <c r="AI113" s="417"/>
      <c r="AJ113" s="417"/>
      <c r="AK113" s="417"/>
      <c r="AL113" s="417"/>
      <c r="AM113" s="417"/>
      <c r="AN113" s="417"/>
      <c r="AO113" s="417"/>
      <c r="AP113" s="417"/>
      <c r="AQ113" s="417"/>
      <c r="AR113" s="417"/>
      <c r="AS113" s="417"/>
      <c r="AT113" s="417"/>
      <c r="AU113" s="417"/>
      <c r="AV113" s="417"/>
      <c r="AW113" s="417"/>
      <c r="AX113" s="417"/>
      <c r="AY113" s="417"/>
      <c r="AZ113" s="417"/>
      <c r="BA113" s="417"/>
      <c r="BB113" s="417"/>
      <c r="BC113" s="417"/>
      <c r="BD113" s="417"/>
      <c r="BE113" s="417"/>
      <c r="BF113" s="417"/>
      <c r="BG113" s="417"/>
      <c r="BH113" s="417"/>
      <c r="BI113" s="417"/>
      <c r="BJ113" s="417"/>
      <c r="BK113" s="417"/>
      <c r="BL113" s="417"/>
      <c r="BM113" s="417"/>
      <c r="BN113" s="418"/>
    </row>
    <row r="114" spans="1:67" s="181" customFormat="1" ht="31.5" customHeight="1" x14ac:dyDescent="0.2">
      <c r="B114" s="419" t="s">
        <v>90</v>
      </c>
      <c r="C114" s="419"/>
      <c r="D114" s="419"/>
      <c r="E114" s="419"/>
      <c r="F114" s="531" t="s">
        <v>334</v>
      </c>
      <c r="G114" s="532"/>
      <c r="H114" s="532"/>
      <c r="I114" s="532"/>
      <c r="J114" s="532"/>
      <c r="K114" s="532"/>
      <c r="L114" s="532"/>
      <c r="M114" s="532"/>
      <c r="N114" s="532"/>
      <c r="O114" s="532"/>
      <c r="P114" s="532"/>
      <c r="Q114" s="532"/>
      <c r="R114" s="532"/>
      <c r="S114" s="532"/>
      <c r="T114" s="532"/>
      <c r="U114" s="532"/>
      <c r="V114" s="532"/>
      <c r="W114" s="532"/>
      <c r="X114" s="532"/>
      <c r="Y114" s="532"/>
      <c r="Z114" s="532"/>
      <c r="AA114" s="532"/>
      <c r="AB114" s="532"/>
      <c r="AC114" s="532"/>
      <c r="AD114" s="532"/>
      <c r="AE114" s="532"/>
      <c r="AF114" s="532"/>
      <c r="AG114" s="532"/>
      <c r="AH114" s="532"/>
      <c r="AI114" s="532"/>
      <c r="AJ114" s="532"/>
      <c r="AK114" s="532"/>
      <c r="AL114" s="532"/>
      <c r="AM114" s="532"/>
      <c r="AN114" s="532"/>
      <c r="AO114" s="532"/>
      <c r="AP114" s="532"/>
      <c r="AQ114" s="532"/>
      <c r="AR114" s="532"/>
      <c r="AS114" s="532"/>
      <c r="AT114" s="532"/>
      <c r="AU114" s="532"/>
      <c r="AV114" s="532"/>
      <c r="AW114" s="532"/>
      <c r="AX114" s="532"/>
      <c r="AY114" s="532"/>
      <c r="AZ114" s="532"/>
      <c r="BA114" s="532"/>
      <c r="BB114" s="532"/>
      <c r="BC114" s="532"/>
      <c r="BD114" s="532"/>
      <c r="BE114" s="532"/>
      <c r="BF114" s="532"/>
      <c r="BG114" s="532"/>
      <c r="BH114" s="532"/>
      <c r="BI114" s="532"/>
      <c r="BJ114" s="532"/>
      <c r="BK114" s="532"/>
      <c r="BL114" s="532"/>
      <c r="BM114" s="532"/>
      <c r="BN114" s="533"/>
    </row>
    <row r="115" spans="1:67" s="181" customFormat="1" ht="15.75" customHeight="1" x14ac:dyDescent="0.2">
      <c r="B115" s="389" t="s">
        <v>145</v>
      </c>
      <c r="C115" s="390"/>
      <c r="D115" s="390"/>
      <c r="E115" s="391"/>
      <c r="F115" s="416" t="s">
        <v>222</v>
      </c>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17"/>
      <c r="AD115" s="417"/>
      <c r="AE115" s="417"/>
      <c r="AF115" s="417"/>
      <c r="AG115" s="417"/>
      <c r="AH115" s="417"/>
      <c r="AI115" s="417"/>
      <c r="AJ115" s="417"/>
      <c r="AK115" s="417"/>
      <c r="AL115" s="417"/>
      <c r="AM115" s="417"/>
      <c r="AN115" s="417"/>
      <c r="AO115" s="417"/>
      <c r="AP115" s="417"/>
      <c r="AQ115" s="417"/>
      <c r="AR115" s="417"/>
      <c r="AS115" s="417"/>
      <c r="AT115" s="417"/>
      <c r="AU115" s="417"/>
      <c r="AV115" s="417"/>
      <c r="AW115" s="417"/>
      <c r="AX115" s="417"/>
      <c r="AY115" s="417"/>
      <c r="AZ115" s="417"/>
      <c r="BA115" s="417"/>
      <c r="BB115" s="417"/>
      <c r="BC115" s="417"/>
      <c r="BD115" s="417"/>
      <c r="BE115" s="417"/>
      <c r="BF115" s="417"/>
      <c r="BG115" s="417"/>
      <c r="BH115" s="417"/>
      <c r="BI115" s="417"/>
      <c r="BJ115" s="417"/>
      <c r="BK115" s="417"/>
      <c r="BL115" s="417"/>
      <c r="BM115" s="417"/>
      <c r="BN115" s="418"/>
    </row>
    <row r="116" spans="1:67" s="181" customFormat="1" ht="21.75" customHeight="1" x14ac:dyDescent="0.2">
      <c r="B116" s="429" t="s">
        <v>153</v>
      </c>
      <c r="C116" s="430"/>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430"/>
      <c r="AD116" s="430"/>
      <c r="AE116" s="430"/>
      <c r="AF116" s="430"/>
      <c r="AG116" s="430"/>
      <c r="AH116" s="430"/>
      <c r="AI116" s="430"/>
      <c r="AJ116" s="430"/>
      <c r="AK116" s="430"/>
      <c r="AL116" s="430"/>
      <c r="AM116" s="430"/>
      <c r="AN116" s="430"/>
      <c r="AO116" s="430"/>
      <c r="AP116" s="430"/>
      <c r="AQ116" s="430"/>
      <c r="AR116" s="430"/>
      <c r="AS116" s="430"/>
      <c r="AT116" s="430"/>
      <c r="AU116" s="430"/>
      <c r="AV116" s="430"/>
      <c r="AW116" s="430"/>
      <c r="AX116" s="430"/>
      <c r="AY116" s="430"/>
      <c r="AZ116" s="430"/>
      <c r="BA116" s="430"/>
      <c r="BB116" s="430"/>
      <c r="BC116" s="430"/>
      <c r="BD116" s="430"/>
      <c r="BE116" s="430"/>
      <c r="BF116" s="430"/>
      <c r="BG116" s="430"/>
      <c r="BH116" s="430"/>
      <c r="BI116" s="430"/>
      <c r="BJ116" s="430"/>
      <c r="BK116" s="430"/>
      <c r="BL116" s="430"/>
      <c r="BM116" s="430"/>
      <c r="BN116" s="217"/>
    </row>
    <row r="117" spans="1:67" s="181" customFormat="1" ht="17.25" customHeight="1" x14ac:dyDescent="0.2">
      <c r="B117" s="387" t="s">
        <v>103</v>
      </c>
      <c r="C117" s="387"/>
      <c r="D117" s="387"/>
      <c r="E117" s="387"/>
      <c r="F117" s="520" t="s">
        <v>111</v>
      </c>
      <c r="G117" s="530"/>
      <c r="H117" s="530"/>
      <c r="I117" s="530"/>
      <c r="J117" s="530"/>
      <c r="K117" s="530"/>
      <c r="L117" s="530"/>
      <c r="M117" s="530"/>
      <c r="N117" s="530"/>
      <c r="O117" s="530"/>
      <c r="P117" s="530"/>
      <c r="Q117" s="530"/>
      <c r="R117" s="530"/>
      <c r="S117" s="530"/>
      <c r="T117" s="530"/>
      <c r="U117" s="530"/>
      <c r="V117" s="530"/>
      <c r="W117" s="530"/>
      <c r="X117" s="530"/>
      <c r="Y117" s="530"/>
      <c r="Z117" s="530"/>
      <c r="AA117" s="530"/>
      <c r="AB117" s="530"/>
      <c r="AC117" s="530"/>
      <c r="AD117" s="530"/>
      <c r="AE117" s="530"/>
      <c r="AF117" s="530"/>
      <c r="AG117" s="530"/>
      <c r="AH117" s="530"/>
      <c r="AI117" s="530"/>
      <c r="AJ117" s="530"/>
      <c r="AK117" s="530"/>
      <c r="AL117" s="530"/>
      <c r="AM117" s="530"/>
      <c r="AN117" s="530"/>
      <c r="AO117" s="530"/>
      <c r="AP117" s="530"/>
      <c r="AQ117" s="530"/>
      <c r="AR117" s="530"/>
      <c r="AS117" s="530"/>
      <c r="AT117" s="530"/>
      <c r="AU117" s="530"/>
      <c r="AV117" s="530"/>
      <c r="AW117" s="530"/>
      <c r="AX117" s="530"/>
      <c r="AY117" s="530"/>
      <c r="AZ117" s="530"/>
      <c r="BA117" s="530"/>
      <c r="BB117" s="530"/>
      <c r="BC117" s="530"/>
      <c r="BD117" s="530"/>
      <c r="BE117" s="530"/>
      <c r="BF117" s="530"/>
      <c r="BG117" s="530"/>
      <c r="BH117" s="530"/>
      <c r="BI117" s="530"/>
      <c r="BJ117" s="530"/>
      <c r="BK117" s="530"/>
      <c r="BL117" s="530"/>
      <c r="BM117" s="530"/>
      <c r="BN117" s="521"/>
    </row>
    <row r="118" spans="1:67" s="181" customFormat="1" ht="30.75" customHeight="1" x14ac:dyDescent="0.2">
      <c r="B118" s="387" t="s">
        <v>102</v>
      </c>
      <c r="C118" s="387"/>
      <c r="D118" s="387"/>
      <c r="E118" s="387"/>
      <c r="F118" s="544" t="s">
        <v>212</v>
      </c>
      <c r="G118" s="545"/>
      <c r="H118" s="545"/>
      <c r="I118" s="545"/>
      <c r="J118" s="545"/>
      <c r="K118" s="545"/>
      <c r="L118" s="545"/>
      <c r="M118" s="545"/>
      <c r="N118" s="545"/>
      <c r="O118" s="545"/>
      <c r="P118" s="545"/>
      <c r="Q118" s="545"/>
      <c r="R118" s="545"/>
      <c r="S118" s="545"/>
      <c r="T118" s="545"/>
      <c r="U118" s="545"/>
      <c r="V118" s="545"/>
      <c r="W118" s="545"/>
      <c r="X118" s="545"/>
      <c r="Y118" s="545"/>
      <c r="Z118" s="545"/>
      <c r="AA118" s="545"/>
      <c r="AB118" s="545"/>
      <c r="AC118" s="545"/>
      <c r="AD118" s="545"/>
      <c r="AE118" s="545"/>
      <c r="AF118" s="545"/>
      <c r="AG118" s="545"/>
      <c r="AH118" s="545"/>
      <c r="AI118" s="545"/>
      <c r="AJ118" s="545"/>
      <c r="AK118" s="545"/>
      <c r="AL118" s="545"/>
      <c r="AM118" s="545"/>
      <c r="AN118" s="545"/>
      <c r="AO118" s="545"/>
      <c r="AP118" s="545"/>
      <c r="AQ118" s="545"/>
      <c r="AR118" s="545"/>
      <c r="AS118" s="545"/>
      <c r="AT118" s="545"/>
      <c r="AU118" s="545"/>
      <c r="AV118" s="545"/>
      <c r="AW118" s="545"/>
      <c r="AX118" s="545"/>
      <c r="AY118" s="545"/>
      <c r="AZ118" s="545"/>
      <c r="BA118" s="545"/>
      <c r="BB118" s="545"/>
      <c r="BC118" s="545"/>
      <c r="BD118" s="545"/>
      <c r="BE118" s="545"/>
      <c r="BF118" s="545"/>
      <c r="BG118" s="545"/>
      <c r="BH118" s="545"/>
      <c r="BI118" s="545"/>
      <c r="BJ118" s="545"/>
      <c r="BK118" s="545"/>
      <c r="BL118" s="545"/>
      <c r="BM118" s="545"/>
      <c r="BN118" s="546"/>
    </row>
    <row r="119" spans="1:67" s="181" customFormat="1" ht="42" customHeight="1" x14ac:dyDescent="0.2">
      <c r="B119" s="541" t="s">
        <v>335</v>
      </c>
      <c r="C119" s="542"/>
      <c r="D119" s="542"/>
      <c r="E119" s="543"/>
      <c r="F119" s="527" t="s">
        <v>336</v>
      </c>
      <c r="G119" s="528"/>
      <c r="H119" s="528"/>
      <c r="I119" s="528"/>
      <c r="J119" s="528"/>
      <c r="K119" s="528"/>
      <c r="L119" s="528"/>
      <c r="M119" s="528"/>
      <c r="N119" s="528"/>
      <c r="O119" s="528"/>
      <c r="P119" s="528"/>
      <c r="Q119" s="528"/>
      <c r="R119" s="528"/>
      <c r="S119" s="528"/>
      <c r="T119" s="528"/>
      <c r="U119" s="528"/>
      <c r="V119" s="528"/>
      <c r="W119" s="528"/>
      <c r="X119" s="528"/>
      <c r="Y119" s="528"/>
      <c r="Z119" s="528"/>
      <c r="AA119" s="528"/>
      <c r="AB119" s="528"/>
      <c r="AC119" s="528"/>
      <c r="AD119" s="528"/>
      <c r="AE119" s="528"/>
      <c r="AF119" s="528"/>
      <c r="AG119" s="528"/>
      <c r="AH119" s="528"/>
      <c r="AI119" s="528"/>
      <c r="AJ119" s="528"/>
      <c r="AK119" s="528"/>
      <c r="AL119" s="528"/>
      <c r="AM119" s="528"/>
      <c r="AN119" s="528"/>
      <c r="AO119" s="528"/>
      <c r="AP119" s="528"/>
      <c r="AQ119" s="528"/>
      <c r="AR119" s="528"/>
      <c r="AS119" s="528"/>
      <c r="AT119" s="528"/>
      <c r="AU119" s="528"/>
      <c r="AV119" s="528"/>
      <c r="AW119" s="528"/>
      <c r="AX119" s="528"/>
      <c r="AY119" s="528"/>
      <c r="AZ119" s="528"/>
      <c r="BA119" s="528"/>
      <c r="BB119" s="528"/>
      <c r="BC119" s="528"/>
      <c r="BD119" s="528"/>
      <c r="BE119" s="528"/>
      <c r="BF119" s="528"/>
      <c r="BG119" s="528"/>
      <c r="BH119" s="528"/>
      <c r="BI119" s="528"/>
      <c r="BJ119" s="528"/>
      <c r="BK119" s="528"/>
      <c r="BL119" s="528"/>
      <c r="BM119" s="528"/>
      <c r="BN119" s="529"/>
    </row>
    <row r="120" spans="1:67" ht="21" customHeight="1" x14ac:dyDescent="0.2">
      <c r="A120" s="228"/>
      <c r="B120" s="98"/>
      <c r="C120" s="413" t="s">
        <v>235</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c r="AJ120" s="414"/>
      <c r="AK120" s="414"/>
      <c r="AL120" s="414"/>
      <c r="AM120" s="414"/>
      <c r="AN120" s="414"/>
      <c r="AO120" s="414"/>
      <c r="AP120" s="414"/>
      <c r="AQ120" s="414"/>
      <c r="AR120" s="414"/>
      <c r="AS120" s="414"/>
      <c r="AT120" s="414"/>
      <c r="AU120" s="414"/>
      <c r="AV120" s="414"/>
      <c r="AW120" s="414"/>
      <c r="AX120" s="414"/>
      <c r="AY120" s="414"/>
      <c r="AZ120" s="414"/>
      <c r="BA120" s="414"/>
      <c r="BB120" s="414"/>
      <c r="BC120" s="414"/>
      <c r="BD120" s="414"/>
      <c r="BE120" s="414"/>
      <c r="BF120" s="414"/>
      <c r="BG120" s="414"/>
      <c r="BH120" s="414"/>
      <c r="BI120" s="414"/>
      <c r="BJ120" s="414"/>
      <c r="BK120" s="414"/>
      <c r="BL120" s="414"/>
      <c r="BM120" s="414"/>
      <c r="BN120" s="415"/>
    </row>
    <row r="121" spans="1:67" ht="51" customHeight="1" x14ac:dyDescent="0.2">
      <c r="B121" s="184" t="s">
        <v>139</v>
      </c>
      <c r="C121" s="401" t="s">
        <v>94</v>
      </c>
      <c r="D121" s="402"/>
      <c r="E121" s="403"/>
      <c r="F121" s="185" t="s">
        <v>95</v>
      </c>
      <c r="G121" s="186" t="s">
        <v>4</v>
      </c>
      <c r="H121" s="187" t="s">
        <v>3</v>
      </c>
      <c r="I121" s="188" t="s">
        <v>96</v>
      </c>
      <c r="J121" s="207" t="s">
        <v>494</v>
      </c>
      <c r="K121" s="207" t="s">
        <v>495</v>
      </c>
      <c r="L121" s="207" t="s">
        <v>380</v>
      </c>
      <c r="M121" s="208" t="s">
        <v>381</v>
      </c>
      <c r="N121" s="207" t="s">
        <v>517</v>
      </c>
      <c r="O121" s="207" t="s">
        <v>518</v>
      </c>
      <c r="P121" s="207" t="s">
        <v>490</v>
      </c>
      <c r="Q121" s="208" t="s">
        <v>491</v>
      </c>
      <c r="R121" s="208" t="s">
        <v>492</v>
      </c>
      <c r="S121" s="208" t="s">
        <v>493</v>
      </c>
      <c r="T121" s="208" t="s">
        <v>519</v>
      </c>
      <c r="U121" s="208" t="s">
        <v>523</v>
      </c>
      <c r="V121" s="208" t="s">
        <v>525</v>
      </c>
      <c r="W121" s="208" t="s">
        <v>571</v>
      </c>
      <c r="X121" s="208" t="s">
        <v>538</v>
      </c>
      <c r="Y121" s="208" t="s">
        <v>553</v>
      </c>
      <c r="Z121" s="208" t="s">
        <v>554</v>
      </c>
      <c r="AA121" s="307" t="s">
        <v>581</v>
      </c>
      <c r="AB121" s="208" t="s">
        <v>570</v>
      </c>
      <c r="AC121" s="307" t="s">
        <v>564</v>
      </c>
      <c r="AD121" s="307" t="s">
        <v>582</v>
      </c>
      <c r="AE121" s="309" t="s">
        <v>578</v>
      </c>
      <c r="AF121" s="307" t="s">
        <v>635</v>
      </c>
      <c r="AG121" s="307" t="s">
        <v>590</v>
      </c>
      <c r="AH121" s="307" t="s">
        <v>606</v>
      </c>
      <c r="AI121" s="307" t="s">
        <v>636</v>
      </c>
      <c r="AJ121" s="307" t="s">
        <v>623</v>
      </c>
      <c r="AK121" s="307" t="s">
        <v>628</v>
      </c>
      <c r="AL121" s="307" t="s">
        <v>637</v>
      </c>
      <c r="AM121" s="307" t="s">
        <v>641</v>
      </c>
      <c r="AN121" s="307" t="s">
        <v>643</v>
      </c>
      <c r="AO121" s="307" t="s">
        <v>646</v>
      </c>
      <c r="AP121" s="307" t="s">
        <v>650</v>
      </c>
      <c r="AQ121" s="307" t="s">
        <v>689</v>
      </c>
      <c r="AR121" s="307" t="s">
        <v>697</v>
      </c>
      <c r="AS121" s="307" t="s">
        <v>725</v>
      </c>
      <c r="AT121" s="307" t="s">
        <v>729</v>
      </c>
      <c r="AU121" s="188" t="s">
        <v>150</v>
      </c>
      <c r="AV121" s="1" t="s">
        <v>5</v>
      </c>
      <c r="AW121" s="1" t="s">
        <v>6</v>
      </c>
      <c r="AX121" s="1" t="s">
        <v>7</v>
      </c>
      <c r="AY121" s="1" t="s">
        <v>8</v>
      </c>
      <c r="AZ121" s="34" t="s">
        <v>157</v>
      </c>
      <c r="BA121" s="2" t="s">
        <v>9</v>
      </c>
      <c r="BB121" s="2" t="s">
        <v>10</v>
      </c>
      <c r="BC121" s="2" t="s">
        <v>11</v>
      </c>
      <c r="BD121" s="2" t="s">
        <v>12</v>
      </c>
      <c r="BE121" s="34" t="s">
        <v>158</v>
      </c>
      <c r="BF121" s="2" t="s">
        <v>13</v>
      </c>
      <c r="BG121" s="2" t="s">
        <v>14</v>
      </c>
      <c r="BH121" s="2" t="s">
        <v>15</v>
      </c>
      <c r="BI121" s="2" t="s">
        <v>16</v>
      </c>
      <c r="BJ121" s="34" t="s">
        <v>159</v>
      </c>
      <c r="BK121" s="189" t="s">
        <v>97</v>
      </c>
      <c r="BL121" s="189" t="s">
        <v>98</v>
      </c>
      <c r="BM121" s="190" t="s">
        <v>236</v>
      </c>
      <c r="BN121" s="189" t="s">
        <v>99</v>
      </c>
    </row>
    <row r="122" spans="1:67" ht="33" customHeight="1" x14ac:dyDescent="0.2">
      <c r="B122" s="400" t="s">
        <v>17</v>
      </c>
      <c r="C122" s="400"/>
      <c r="D122" s="400"/>
      <c r="E122" s="400"/>
      <c r="F122" s="400"/>
      <c r="G122" s="400"/>
      <c r="H122" s="400"/>
      <c r="I122" s="54">
        <f>+I123+I149+I170+I179+I200+I202</f>
        <v>6491</v>
      </c>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v>5130</v>
      </c>
      <c r="AV122" s="54">
        <f>+AV123+AV149+AV170+AV179+AV200+AV202</f>
        <v>45</v>
      </c>
      <c r="AW122" s="54">
        <f>+AW123+AW149+AW170+AW179+AW200+AW202</f>
        <v>156</v>
      </c>
      <c r="AX122" s="54">
        <f>+AX123+AX149+AX170+AX179+AX200+AX202</f>
        <v>270</v>
      </c>
      <c r="AY122" s="54">
        <f>+AY123+AY149+AY170+AY179+AY200+AY202</f>
        <v>175</v>
      </c>
      <c r="AZ122" s="54">
        <f>+AZ123+AZ149+AZ170+AZ179</f>
        <v>646</v>
      </c>
      <c r="BA122" s="54">
        <f>+BA123+BA149+BA170+BA179+BA200+BA202</f>
        <v>260</v>
      </c>
      <c r="BB122" s="54">
        <f>+BB123+BB149+BB170+BB179+BB200+BB202</f>
        <v>170</v>
      </c>
      <c r="BC122" s="54">
        <f>+BC123+BC149+BC170+BC179+BC200+BC202</f>
        <v>116</v>
      </c>
      <c r="BD122" s="54">
        <v>149</v>
      </c>
      <c r="BE122" s="54">
        <f>+BE123+BE149+BE170+BE179+BE200+BE202</f>
        <v>695</v>
      </c>
      <c r="BF122" s="54">
        <f>+BF123+BF149+BF179+BF202</f>
        <v>133</v>
      </c>
      <c r="BG122" s="54">
        <f>+BG123+BG149+BG179</f>
        <v>147</v>
      </c>
      <c r="BH122" s="54">
        <f>+BH123+BH149+BH170+BH179+BH200+BH202</f>
        <v>0</v>
      </c>
      <c r="BI122" s="54">
        <f>+BI123+BI149+BI170+BI179+BI200+BI202</f>
        <v>0</v>
      </c>
      <c r="BJ122" s="54">
        <f>+BJ123+BJ149+BJ179+BJ202</f>
        <v>280</v>
      </c>
      <c r="BK122" s="54">
        <f>+BK123+BK149+BK179+BK202</f>
        <v>1621</v>
      </c>
      <c r="BL122" s="104">
        <f>SUM(BK122/AU122)</f>
        <v>0.31598440545808965</v>
      </c>
      <c r="BM122" s="103">
        <f>SUM(BM123+BM149+BM170+BM179+BM200)</f>
        <v>51732946</v>
      </c>
      <c r="BN122" s="123" t="s">
        <v>680</v>
      </c>
    </row>
    <row r="123" spans="1:67" ht="73.5" customHeight="1" x14ac:dyDescent="0.2">
      <c r="B123" s="30">
        <v>1</v>
      </c>
      <c r="C123" s="378" t="s">
        <v>267</v>
      </c>
      <c r="D123" s="379"/>
      <c r="E123" s="380"/>
      <c r="F123" s="199"/>
      <c r="G123" s="200"/>
      <c r="H123" s="155" t="s">
        <v>51</v>
      </c>
      <c r="I123" s="154">
        <v>1312</v>
      </c>
      <c r="J123" s="154"/>
      <c r="K123" s="154"/>
      <c r="L123" s="179"/>
      <c r="M123" s="65" t="s">
        <v>407</v>
      </c>
      <c r="N123" s="65"/>
      <c r="O123" s="65"/>
      <c r="P123" s="65"/>
      <c r="Q123" s="65"/>
      <c r="R123" s="65"/>
      <c r="S123" s="65"/>
      <c r="T123" s="65"/>
      <c r="U123" s="65"/>
      <c r="V123" s="65"/>
      <c r="W123" s="65"/>
      <c r="X123" s="65"/>
      <c r="Y123" s="65"/>
      <c r="Z123" s="65"/>
      <c r="AA123" s="65"/>
      <c r="AB123" s="301" t="s">
        <v>555</v>
      </c>
      <c r="AC123" s="302" t="s">
        <v>558</v>
      </c>
      <c r="AD123" s="306"/>
      <c r="AE123" s="306"/>
      <c r="AF123" s="314"/>
      <c r="AG123" s="314"/>
      <c r="AH123" s="322"/>
      <c r="AI123" s="341"/>
      <c r="AJ123" s="343"/>
      <c r="AK123" s="345"/>
      <c r="AL123" s="353"/>
      <c r="AM123" s="363"/>
      <c r="AN123" s="364"/>
      <c r="AO123" s="364"/>
      <c r="AP123" s="364"/>
      <c r="AQ123" s="364"/>
      <c r="AR123" s="364" t="s">
        <v>690</v>
      </c>
      <c r="AS123" s="367"/>
      <c r="AT123" s="367"/>
      <c r="AU123" s="262">
        <v>876</v>
      </c>
      <c r="AV123" s="154">
        <f>+AV124+AV130+AV134+AV139</f>
        <v>5</v>
      </c>
      <c r="AW123" s="179">
        <f>+AW124+AW130+AW134+AW139</f>
        <v>90</v>
      </c>
      <c r="AX123" s="248">
        <f>+AX124+AX130+AX134+AX139</f>
        <v>179</v>
      </c>
      <c r="AY123" s="272">
        <f>+AY124+AY130+AY134+AY139</f>
        <v>89</v>
      </c>
      <c r="AZ123" s="67">
        <f>+AV123+AW123+AX123+AY123</f>
        <v>363</v>
      </c>
      <c r="BA123" s="154">
        <v>140</v>
      </c>
      <c r="BB123" s="10">
        <f>+BB130+BB134+BB139</f>
        <v>39</v>
      </c>
      <c r="BC123" s="154">
        <v>66</v>
      </c>
      <c r="BD123" s="108">
        <f>+BD130+BD134+BD139</f>
        <v>122</v>
      </c>
      <c r="BE123" s="154">
        <f>SUM(BA123:BD123)</f>
        <v>367</v>
      </c>
      <c r="BF123" s="154">
        <f>SUM(BF124+BF130+BF134+BF139)</f>
        <v>50</v>
      </c>
      <c r="BG123" s="364">
        <f>SUM(BG124+BG130+BG134+BG139)</f>
        <v>30</v>
      </c>
      <c r="BH123" s="108"/>
      <c r="BI123" s="108"/>
      <c r="BJ123" s="67">
        <f>SUM(BF123:BI123)</f>
        <v>80</v>
      </c>
      <c r="BK123" s="67">
        <f>SUM(AZ123+BE123+BJ123)</f>
        <v>810</v>
      </c>
      <c r="BL123" s="41">
        <f>SUM(BK123/AU123)</f>
        <v>0.92465753424657537</v>
      </c>
      <c r="BM123" s="3">
        <v>17865894</v>
      </c>
      <c r="BN123" s="123" t="s">
        <v>664</v>
      </c>
      <c r="BO123" s="61">
        <f>83+73+55+0</f>
        <v>211</v>
      </c>
    </row>
    <row r="124" spans="1:67" ht="60.75" customHeight="1" x14ac:dyDescent="0.2">
      <c r="B124" s="48"/>
      <c r="C124" s="538"/>
      <c r="D124" s="539"/>
      <c r="E124" s="540"/>
      <c r="F124" s="64" t="s">
        <v>268</v>
      </c>
      <c r="G124" s="200"/>
      <c r="H124" s="155" t="s">
        <v>51</v>
      </c>
      <c r="I124" s="154">
        <v>390</v>
      </c>
      <c r="J124" s="154"/>
      <c r="K124" s="154"/>
      <c r="L124" s="179"/>
      <c r="M124" s="248"/>
      <c r="N124" s="248"/>
      <c r="O124" s="249"/>
      <c r="P124" s="248"/>
      <c r="Q124" s="249"/>
      <c r="R124" s="249"/>
      <c r="S124" s="249"/>
      <c r="T124" s="278"/>
      <c r="U124" s="280"/>
      <c r="V124" s="285"/>
      <c r="W124" s="306"/>
      <c r="X124" s="288"/>
      <c r="Y124" s="290"/>
      <c r="Z124" s="290"/>
      <c r="AA124" s="290"/>
      <c r="AB124" s="301" t="s">
        <v>555</v>
      </c>
      <c r="AC124" s="302"/>
      <c r="AD124" s="306"/>
      <c r="AE124" s="306"/>
      <c r="AF124" s="314"/>
      <c r="AG124" s="314"/>
      <c r="AH124" s="322"/>
      <c r="AI124" s="341"/>
      <c r="AJ124" s="343"/>
      <c r="AK124" s="345"/>
      <c r="AL124" s="353"/>
      <c r="AM124" s="363"/>
      <c r="AN124" s="364"/>
      <c r="AO124" s="364"/>
      <c r="AP124" s="364"/>
      <c r="AQ124" s="364"/>
      <c r="AR124" s="364" t="s">
        <v>690</v>
      </c>
      <c r="AS124" s="367"/>
      <c r="AT124" s="367"/>
      <c r="AU124" s="370" t="s">
        <v>211</v>
      </c>
      <c r="AV124" s="122" t="s">
        <v>211</v>
      </c>
      <c r="AW124" s="122" t="s">
        <v>211</v>
      </c>
      <c r="AX124" s="122" t="s">
        <v>211</v>
      </c>
      <c r="AY124" s="122" t="s">
        <v>211</v>
      </c>
      <c r="AZ124" s="122" t="s">
        <v>211</v>
      </c>
      <c r="BA124" s="154" t="s">
        <v>211</v>
      </c>
      <c r="BB124" s="122" t="s">
        <v>211</v>
      </c>
      <c r="BC124" s="154" t="s">
        <v>211</v>
      </c>
      <c r="BD124" s="108" t="s">
        <v>211</v>
      </c>
      <c r="BE124" s="7" t="s">
        <v>211</v>
      </c>
      <c r="BF124" s="108" t="s">
        <v>211</v>
      </c>
      <c r="BG124" s="108" t="s">
        <v>211</v>
      </c>
      <c r="BH124" s="108"/>
      <c r="BI124" s="113"/>
      <c r="BJ124" s="7" t="s">
        <v>211</v>
      </c>
      <c r="BK124" s="113" t="s">
        <v>211</v>
      </c>
      <c r="BL124" s="113" t="s">
        <v>211</v>
      </c>
      <c r="BM124" s="599" t="s">
        <v>730</v>
      </c>
      <c r="BN124" s="600"/>
      <c r="BO124" s="61">
        <f>4+32+5+0</f>
        <v>41</v>
      </c>
    </row>
    <row r="125" spans="1:67" ht="34.5" hidden="1" customHeight="1" x14ac:dyDescent="0.2">
      <c r="B125" s="48"/>
      <c r="C125" s="381"/>
      <c r="D125" s="381"/>
      <c r="E125" s="381"/>
      <c r="F125" s="166"/>
      <c r="G125" s="64" t="s">
        <v>192</v>
      </c>
      <c r="H125" s="19" t="s">
        <v>51</v>
      </c>
      <c r="I125" s="65">
        <v>100</v>
      </c>
      <c r="J125" s="65"/>
      <c r="K125" s="65"/>
      <c r="L125" s="65"/>
      <c r="M125" s="65"/>
      <c r="N125" s="65"/>
      <c r="O125" s="65"/>
      <c r="P125" s="65"/>
      <c r="Q125" s="65"/>
      <c r="R125" s="65"/>
      <c r="S125" s="65"/>
      <c r="T125" s="65"/>
      <c r="U125" s="65"/>
      <c r="V125" s="65"/>
      <c r="W125" s="65"/>
      <c r="X125" s="65"/>
      <c r="Y125" s="65"/>
      <c r="Z125" s="65"/>
      <c r="AA125" s="65"/>
      <c r="AB125" s="314" t="s">
        <v>555</v>
      </c>
      <c r="AC125" s="65"/>
      <c r="AD125" s="65"/>
      <c r="AE125" s="65"/>
      <c r="AF125" s="65"/>
      <c r="AG125" s="65"/>
      <c r="AH125" s="65"/>
      <c r="AI125" s="65"/>
      <c r="AJ125" s="65"/>
      <c r="AK125" s="65"/>
      <c r="AL125" s="65"/>
      <c r="AM125" s="65"/>
      <c r="AN125" s="65"/>
      <c r="AO125" s="65"/>
      <c r="AP125" s="65"/>
      <c r="AQ125" s="65"/>
      <c r="AR125" s="364" t="s">
        <v>691</v>
      </c>
      <c r="AS125" s="367"/>
      <c r="AT125" s="367"/>
      <c r="AU125" s="315" t="s">
        <v>211</v>
      </c>
      <c r="AV125" s="136" t="s">
        <v>211</v>
      </c>
      <c r="AW125" s="136" t="s">
        <v>211</v>
      </c>
      <c r="AX125" s="136" t="s">
        <v>211</v>
      </c>
      <c r="AY125" s="136" t="s">
        <v>211</v>
      </c>
      <c r="AZ125" s="136" t="s">
        <v>211</v>
      </c>
      <c r="BA125" s="56" t="s">
        <v>211</v>
      </c>
      <c r="BB125" s="136" t="s">
        <v>211</v>
      </c>
      <c r="BC125" s="107" t="s">
        <v>211</v>
      </c>
      <c r="BD125" s="136" t="s">
        <v>211</v>
      </c>
      <c r="BE125" s="6" t="s">
        <v>211</v>
      </c>
      <c r="BF125" s="136" t="s">
        <v>211</v>
      </c>
      <c r="BG125" s="107"/>
      <c r="BH125" s="107"/>
      <c r="BI125" s="107"/>
      <c r="BJ125" s="107" t="s">
        <v>211</v>
      </c>
      <c r="BK125" s="136" t="s">
        <v>211</v>
      </c>
      <c r="BL125" s="136" t="s">
        <v>211</v>
      </c>
      <c r="BM125" s="12"/>
      <c r="BN125" s="12"/>
    </row>
    <row r="126" spans="1:67" ht="68.25" hidden="1" customHeight="1" x14ac:dyDescent="0.2">
      <c r="B126" s="48"/>
      <c r="C126" s="410"/>
      <c r="D126" s="411"/>
      <c r="E126" s="412"/>
      <c r="F126" s="32"/>
      <c r="G126" s="64" t="s">
        <v>216</v>
      </c>
      <c r="H126" s="19" t="s">
        <v>51</v>
      </c>
      <c r="I126" s="65">
        <v>45</v>
      </c>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364" t="s">
        <v>692</v>
      </c>
      <c r="AS126" s="367"/>
      <c r="AT126" s="367"/>
      <c r="AU126" s="315" t="s">
        <v>211</v>
      </c>
      <c r="AV126" s="136" t="s">
        <v>211</v>
      </c>
      <c r="AW126" s="136" t="s">
        <v>211</v>
      </c>
      <c r="AX126" s="136" t="s">
        <v>211</v>
      </c>
      <c r="AY126" s="136" t="s">
        <v>211</v>
      </c>
      <c r="AZ126" s="136" t="s">
        <v>211</v>
      </c>
      <c r="BA126" s="56" t="s">
        <v>211</v>
      </c>
      <c r="BB126" s="136" t="s">
        <v>211</v>
      </c>
      <c r="BC126" s="107" t="s">
        <v>211</v>
      </c>
      <c r="BD126" s="136" t="s">
        <v>211</v>
      </c>
      <c r="BE126" s="6" t="s">
        <v>211</v>
      </c>
      <c r="BF126" s="136" t="s">
        <v>211</v>
      </c>
      <c r="BG126" s="107"/>
      <c r="BH126" s="107"/>
      <c r="BI126" s="107"/>
      <c r="BJ126" s="107" t="s">
        <v>211</v>
      </c>
      <c r="BK126" s="136" t="s">
        <v>211</v>
      </c>
      <c r="BL126" s="136" t="s">
        <v>211</v>
      </c>
      <c r="BM126" s="12"/>
      <c r="BN126" s="12"/>
    </row>
    <row r="127" spans="1:67" ht="57" hidden="1" customHeight="1" x14ac:dyDescent="0.2">
      <c r="B127" s="48"/>
      <c r="C127" s="538"/>
      <c r="D127" s="539"/>
      <c r="E127" s="540"/>
      <c r="F127" s="32"/>
      <c r="G127" s="64" t="s">
        <v>269</v>
      </c>
      <c r="H127" s="19" t="s">
        <v>51</v>
      </c>
      <c r="I127" s="65">
        <v>15</v>
      </c>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364" t="s">
        <v>534</v>
      </c>
      <c r="AS127" s="367"/>
      <c r="AT127" s="367"/>
      <c r="AU127" s="315" t="s">
        <v>211</v>
      </c>
      <c r="AV127" s="136" t="s">
        <v>211</v>
      </c>
      <c r="AW127" s="136" t="s">
        <v>211</v>
      </c>
      <c r="AX127" s="136" t="s">
        <v>211</v>
      </c>
      <c r="AY127" s="136" t="s">
        <v>211</v>
      </c>
      <c r="AZ127" s="136" t="s">
        <v>211</v>
      </c>
      <c r="BA127" s="56" t="s">
        <v>211</v>
      </c>
      <c r="BB127" s="136" t="s">
        <v>211</v>
      </c>
      <c r="BC127" s="107" t="s">
        <v>211</v>
      </c>
      <c r="BD127" s="136" t="s">
        <v>211</v>
      </c>
      <c r="BE127" s="6" t="s">
        <v>211</v>
      </c>
      <c r="BF127" s="136" t="s">
        <v>211</v>
      </c>
      <c r="BG127" s="107"/>
      <c r="BH127" s="107"/>
      <c r="BI127" s="107"/>
      <c r="BJ127" s="107" t="s">
        <v>211</v>
      </c>
      <c r="BK127" s="136" t="s">
        <v>211</v>
      </c>
      <c r="BL127" s="136" t="s">
        <v>211</v>
      </c>
      <c r="BM127" s="12"/>
      <c r="BN127" s="12"/>
    </row>
    <row r="128" spans="1:67" ht="47.25" hidden="1" customHeight="1" x14ac:dyDescent="0.2">
      <c r="B128" s="48"/>
      <c r="C128" s="160"/>
      <c r="D128" s="161"/>
      <c r="E128" s="162"/>
      <c r="F128" s="32"/>
      <c r="G128" s="64" t="s">
        <v>193</v>
      </c>
      <c r="H128" s="19" t="s">
        <v>51</v>
      </c>
      <c r="I128" s="65">
        <v>50</v>
      </c>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364" t="s">
        <v>693</v>
      </c>
      <c r="AS128" s="367"/>
      <c r="AT128" s="367"/>
      <c r="AU128" s="315" t="s">
        <v>211</v>
      </c>
      <c r="AV128" s="136" t="s">
        <v>211</v>
      </c>
      <c r="AW128" s="136" t="s">
        <v>211</v>
      </c>
      <c r="AX128" s="136" t="s">
        <v>211</v>
      </c>
      <c r="AY128" s="136" t="s">
        <v>211</v>
      </c>
      <c r="AZ128" s="136" t="s">
        <v>211</v>
      </c>
      <c r="BA128" s="8" t="s">
        <v>211</v>
      </c>
      <c r="BB128" s="136" t="s">
        <v>211</v>
      </c>
      <c r="BC128" s="107" t="s">
        <v>211</v>
      </c>
      <c r="BD128" s="136" t="s">
        <v>211</v>
      </c>
      <c r="BE128" s="6" t="s">
        <v>211</v>
      </c>
      <c r="BF128" s="136" t="s">
        <v>211</v>
      </c>
      <c r="BG128" s="107"/>
      <c r="BH128" s="107"/>
      <c r="BI128" s="107"/>
      <c r="BJ128" s="107" t="s">
        <v>211</v>
      </c>
      <c r="BK128" s="136" t="s">
        <v>211</v>
      </c>
      <c r="BL128" s="136" t="s">
        <v>211</v>
      </c>
      <c r="BM128" s="12"/>
      <c r="BN128" s="12"/>
    </row>
    <row r="129" spans="2:66" ht="60" hidden="1" customHeight="1" x14ac:dyDescent="0.2">
      <c r="B129" s="48"/>
      <c r="C129" s="160"/>
      <c r="D129" s="161"/>
      <c r="E129" s="162"/>
      <c r="F129" s="32"/>
      <c r="G129" s="64" t="s">
        <v>270</v>
      </c>
      <c r="H129" s="19" t="s">
        <v>51</v>
      </c>
      <c r="I129" s="81">
        <v>180</v>
      </c>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364" t="s">
        <v>694</v>
      </c>
      <c r="AS129" s="367"/>
      <c r="AT129" s="367"/>
      <c r="AU129" s="315" t="s">
        <v>211</v>
      </c>
      <c r="AV129" s="136" t="s">
        <v>211</v>
      </c>
      <c r="AW129" s="136" t="s">
        <v>211</v>
      </c>
      <c r="AX129" s="136" t="s">
        <v>211</v>
      </c>
      <c r="AY129" s="136" t="s">
        <v>211</v>
      </c>
      <c r="AZ129" s="136" t="s">
        <v>211</v>
      </c>
      <c r="BA129" s="8" t="s">
        <v>211</v>
      </c>
      <c r="BB129" s="136" t="s">
        <v>211</v>
      </c>
      <c r="BC129" s="8" t="s">
        <v>211</v>
      </c>
      <c r="BD129" s="136" t="s">
        <v>211</v>
      </c>
      <c r="BE129" s="6" t="s">
        <v>211</v>
      </c>
      <c r="BF129" s="136" t="s">
        <v>211</v>
      </c>
      <c r="BG129" s="107"/>
      <c r="BH129" s="107"/>
      <c r="BI129" s="107"/>
      <c r="BJ129" s="107" t="s">
        <v>211</v>
      </c>
      <c r="BK129" s="136" t="s">
        <v>211</v>
      </c>
      <c r="BL129" s="136" t="s">
        <v>211</v>
      </c>
      <c r="BM129" s="12"/>
      <c r="BN129" s="12"/>
    </row>
    <row r="130" spans="2:66" ht="81.75" customHeight="1" x14ac:dyDescent="0.2">
      <c r="B130" s="48"/>
      <c r="C130" s="381"/>
      <c r="D130" s="381"/>
      <c r="E130" s="381"/>
      <c r="F130" s="64" t="s">
        <v>271</v>
      </c>
      <c r="G130" s="64"/>
      <c r="H130" s="155" t="s">
        <v>51</v>
      </c>
      <c r="I130" s="10">
        <v>255</v>
      </c>
      <c r="J130" s="10"/>
      <c r="K130" s="10"/>
      <c r="L130" s="10"/>
      <c r="M130" s="10"/>
      <c r="N130" s="10"/>
      <c r="O130" s="10"/>
      <c r="P130" s="10"/>
      <c r="Q130" s="10"/>
      <c r="R130" s="10"/>
      <c r="S130" s="10"/>
      <c r="T130" s="10"/>
      <c r="U130" s="10"/>
      <c r="V130" s="10"/>
      <c r="W130" s="10"/>
      <c r="X130" s="10"/>
      <c r="Y130" s="10"/>
      <c r="Z130" s="10"/>
      <c r="AA130" s="10"/>
      <c r="AB130" s="10"/>
      <c r="AC130" s="10" t="s">
        <v>559</v>
      </c>
      <c r="AD130" s="10"/>
      <c r="AE130" s="10"/>
      <c r="AF130" s="10"/>
      <c r="AG130" s="10"/>
      <c r="AH130" s="10"/>
      <c r="AI130" s="10"/>
      <c r="AJ130" s="10"/>
      <c r="AK130" s="10"/>
      <c r="AL130" s="10"/>
      <c r="AM130" s="10"/>
      <c r="AN130" s="10"/>
      <c r="AO130" s="10"/>
      <c r="AP130" s="10"/>
      <c r="AQ130" s="10"/>
      <c r="AR130" s="10"/>
      <c r="AS130" s="10"/>
      <c r="AT130" s="10"/>
      <c r="AU130" s="237">
        <v>301</v>
      </c>
      <c r="AV130" s="10">
        <v>5</v>
      </c>
      <c r="AW130" s="10">
        <v>54</v>
      </c>
      <c r="AX130" s="10">
        <v>111</v>
      </c>
      <c r="AY130" s="10">
        <v>37</v>
      </c>
      <c r="AZ130" s="7">
        <f>SUM(AV130:AY130)</f>
        <v>207</v>
      </c>
      <c r="BA130" s="10">
        <v>22</v>
      </c>
      <c r="BB130" s="286">
        <v>5</v>
      </c>
      <c r="BC130" s="10">
        <v>14</v>
      </c>
      <c r="BD130" s="108" t="s">
        <v>472</v>
      </c>
      <c r="BE130" s="10">
        <f>22+5+14+6</f>
        <v>47</v>
      </c>
      <c r="BF130" s="108" t="s">
        <v>600</v>
      </c>
      <c r="BG130" s="108" t="s">
        <v>498</v>
      </c>
      <c r="BH130" s="108"/>
      <c r="BI130" s="108"/>
      <c r="BJ130" s="108" t="s">
        <v>698</v>
      </c>
      <c r="BK130" s="10">
        <f>SUM(AZ130+BE130+BJ130)</f>
        <v>289</v>
      </c>
      <c r="BL130" s="41">
        <f t="shared" ref="BL130:BL143" si="30">SUM(BK130/AU130)</f>
        <v>0.96013289036544847</v>
      </c>
      <c r="BM130" s="12"/>
      <c r="BN130" s="12"/>
    </row>
    <row r="131" spans="2:66" ht="97.5" customHeight="1" x14ac:dyDescent="0.2">
      <c r="B131" s="48"/>
      <c r="C131" s="381"/>
      <c r="D131" s="381"/>
      <c r="E131" s="381"/>
      <c r="F131" s="110"/>
      <c r="G131" s="64" t="s">
        <v>405</v>
      </c>
      <c r="H131" s="19" t="s">
        <v>51</v>
      </c>
      <c r="I131" s="65">
        <v>66</v>
      </c>
      <c r="J131" s="65"/>
      <c r="K131" s="65"/>
      <c r="L131" s="65"/>
      <c r="M131" s="65"/>
      <c r="N131" s="65"/>
      <c r="O131" s="65"/>
      <c r="P131" s="65"/>
      <c r="Q131" s="65"/>
      <c r="R131" s="65"/>
      <c r="S131" s="65"/>
      <c r="T131" s="65"/>
      <c r="U131" s="65"/>
      <c r="V131" s="65"/>
      <c r="W131" s="65"/>
      <c r="X131" s="65"/>
      <c r="Y131" s="65"/>
      <c r="Z131" s="65"/>
      <c r="AA131" s="65"/>
      <c r="AB131" s="65"/>
      <c r="AC131" s="10" t="s">
        <v>561</v>
      </c>
      <c r="AD131" s="10"/>
      <c r="AE131" s="10"/>
      <c r="AF131" s="10"/>
      <c r="AG131" s="10"/>
      <c r="AH131" s="10"/>
      <c r="AI131" s="10"/>
      <c r="AJ131" s="10"/>
      <c r="AK131" s="10"/>
      <c r="AL131" s="10"/>
      <c r="AM131" s="10"/>
      <c r="AN131" s="10"/>
      <c r="AO131" s="10"/>
      <c r="AP131" s="10"/>
      <c r="AQ131" s="10"/>
      <c r="AR131" s="10"/>
      <c r="AS131" s="10"/>
      <c r="AT131" s="10"/>
      <c r="AU131" s="238">
        <v>102</v>
      </c>
      <c r="AV131" s="14">
        <v>5</v>
      </c>
      <c r="AW131" s="14">
        <v>7</v>
      </c>
      <c r="AX131" s="14">
        <v>8</v>
      </c>
      <c r="AY131" s="14">
        <v>24</v>
      </c>
      <c r="AZ131" s="6">
        <f>SUM(AV131:AY131)</f>
        <v>44</v>
      </c>
      <c r="BA131" s="8">
        <v>22</v>
      </c>
      <c r="BB131" s="136" t="s">
        <v>211</v>
      </c>
      <c r="BC131" s="8" t="s">
        <v>211</v>
      </c>
      <c r="BD131" s="136" t="s">
        <v>211</v>
      </c>
      <c r="BE131" s="6">
        <f>SUM(BA131+BB131+BC131+BD131)</f>
        <v>22</v>
      </c>
      <c r="BF131" s="6">
        <v>14</v>
      </c>
      <c r="BG131" s="107" t="s">
        <v>505</v>
      </c>
      <c r="BH131" s="107"/>
      <c r="BI131" s="107"/>
      <c r="BJ131" s="107" t="s">
        <v>716</v>
      </c>
      <c r="BK131" s="6">
        <f t="shared" ref="BK131:BK133" si="31">+BJ131+BE131+AZ131</f>
        <v>97</v>
      </c>
      <c r="BL131" s="68">
        <f t="shared" si="30"/>
        <v>0.9509803921568627</v>
      </c>
      <c r="BM131" s="12"/>
      <c r="BN131" s="12"/>
    </row>
    <row r="132" spans="2:66" ht="52.5" customHeight="1" x14ac:dyDescent="0.2">
      <c r="B132" s="48"/>
      <c r="C132" s="410"/>
      <c r="D132" s="411"/>
      <c r="E132" s="412"/>
      <c r="F132" s="14"/>
      <c r="G132" s="64" t="s">
        <v>183</v>
      </c>
      <c r="H132" s="19" t="s">
        <v>51</v>
      </c>
      <c r="I132" s="57">
        <v>179</v>
      </c>
      <c r="J132" s="57"/>
      <c r="K132" s="57"/>
      <c r="L132" s="57"/>
      <c r="M132" s="57"/>
      <c r="N132" s="57"/>
      <c r="O132" s="57"/>
      <c r="P132" s="57"/>
      <c r="Q132" s="57"/>
      <c r="R132" s="57"/>
      <c r="S132" s="57"/>
      <c r="T132" s="57"/>
      <c r="U132" s="57"/>
      <c r="V132" s="57"/>
      <c r="W132" s="57"/>
      <c r="X132" s="57"/>
      <c r="Y132" s="57"/>
      <c r="Z132" s="57"/>
      <c r="AA132" s="57"/>
      <c r="AB132" s="57"/>
      <c r="AC132" s="10" t="s">
        <v>528</v>
      </c>
      <c r="AD132" s="10"/>
      <c r="AE132" s="10"/>
      <c r="AF132" s="10"/>
      <c r="AG132" s="10"/>
      <c r="AH132" s="10"/>
      <c r="AI132" s="10"/>
      <c r="AJ132" s="10"/>
      <c r="AK132" s="10"/>
      <c r="AL132" s="10"/>
      <c r="AM132" s="10"/>
      <c r="AN132" s="10"/>
      <c r="AO132" s="10"/>
      <c r="AP132" s="10"/>
      <c r="AQ132" s="10"/>
      <c r="AR132" s="10"/>
      <c r="AS132" s="10"/>
      <c r="AT132" s="10"/>
      <c r="AU132" s="238">
        <v>189</v>
      </c>
      <c r="AV132" s="107" t="s">
        <v>211</v>
      </c>
      <c r="AW132" s="14">
        <v>46</v>
      </c>
      <c r="AX132" s="14">
        <v>103</v>
      </c>
      <c r="AY132" s="14">
        <v>13</v>
      </c>
      <c r="AZ132" s="136" t="s">
        <v>507</v>
      </c>
      <c r="BA132" s="136" t="s">
        <v>211</v>
      </c>
      <c r="BB132" s="8">
        <v>2</v>
      </c>
      <c r="BC132" s="136">
        <v>12</v>
      </c>
      <c r="BD132" s="8">
        <v>5</v>
      </c>
      <c r="BE132" s="136">
        <f>SUM(BA132+BB132+BC132+BD132)</f>
        <v>19</v>
      </c>
      <c r="BF132" s="6">
        <v>2</v>
      </c>
      <c r="BG132" s="136" t="s">
        <v>211</v>
      </c>
      <c r="BH132" s="136"/>
      <c r="BI132" s="136"/>
      <c r="BJ132" s="136">
        <f>SUM(BF132:BI132)</f>
        <v>2</v>
      </c>
      <c r="BK132" s="136">
        <f t="shared" si="31"/>
        <v>183</v>
      </c>
      <c r="BL132" s="68">
        <f t="shared" si="30"/>
        <v>0.96825396825396826</v>
      </c>
      <c r="BM132" s="12"/>
      <c r="BN132" s="12"/>
    </row>
    <row r="133" spans="2:66" ht="76.5" x14ac:dyDescent="0.2">
      <c r="B133" s="48"/>
      <c r="C133" s="157"/>
      <c r="D133" s="158"/>
      <c r="E133" s="159"/>
      <c r="F133" s="14"/>
      <c r="G133" s="64" t="s">
        <v>272</v>
      </c>
      <c r="H133" s="19" t="s">
        <v>51</v>
      </c>
      <c r="I133" s="57">
        <v>10</v>
      </c>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65">
        <v>10</v>
      </c>
      <c r="AV133" s="107" t="s">
        <v>211</v>
      </c>
      <c r="AW133" s="14">
        <v>1</v>
      </c>
      <c r="AX133" s="107" t="s">
        <v>211</v>
      </c>
      <c r="AY133" s="107" t="s">
        <v>211</v>
      </c>
      <c r="AZ133" s="136" t="s">
        <v>362</v>
      </c>
      <c r="BA133" s="136" t="s">
        <v>211</v>
      </c>
      <c r="BB133" s="8">
        <v>3</v>
      </c>
      <c r="BC133" s="136">
        <v>2</v>
      </c>
      <c r="BD133" s="8">
        <v>1</v>
      </c>
      <c r="BE133" s="136">
        <f>SUM(BA133+BB133+BC133+BD133)</f>
        <v>6</v>
      </c>
      <c r="BF133" s="107" t="s">
        <v>211</v>
      </c>
      <c r="BG133" s="136" t="s">
        <v>360</v>
      </c>
      <c r="BH133" s="136"/>
      <c r="BI133" s="136"/>
      <c r="BJ133" s="107" t="s">
        <v>360</v>
      </c>
      <c r="BK133" s="136">
        <f t="shared" si="31"/>
        <v>9</v>
      </c>
      <c r="BL133" s="68">
        <f t="shared" si="30"/>
        <v>0.9</v>
      </c>
      <c r="BM133" s="12"/>
      <c r="BN133" s="12"/>
    </row>
    <row r="134" spans="2:66" ht="100.5" customHeight="1" x14ac:dyDescent="0.2">
      <c r="B134" s="48"/>
      <c r="C134" s="157"/>
      <c r="D134" s="158"/>
      <c r="E134" s="159"/>
      <c r="F134" s="64" t="s">
        <v>273</v>
      </c>
      <c r="G134" s="50"/>
      <c r="H134" s="13" t="s">
        <v>51</v>
      </c>
      <c r="I134" s="10">
        <v>297</v>
      </c>
      <c r="J134" s="10"/>
      <c r="K134" s="10"/>
      <c r="L134" s="10"/>
      <c r="M134" s="10"/>
      <c r="N134" s="10"/>
      <c r="O134" s="10"/>
      <c r="P134" s="10"/>
      <c r="Q134" s="10"/>
      <c r="R134" s="10"/>
      <c r="S134" s="10"/>
      <c r="T134" s="10"/>
      <c r="U134" s="10"/>
      <c r="V134" s="10"/>
      <c r="W134" s="10"/>
      <c r="X134" s="10"/>
      <c r="Y134" s="10"/>
      <c r="Z134" s="10"/>
      <c r="AA134" s="10"/>
      <c r="AB134" s="10"/>
      <c r="AC134" s="10" t="s">
        <v>560</v>
      </c>
      <c r="AD134" s="10"/>
      <c r="AE134" s="10"/>
      <c r="AF134" s="10"/>
      <c r="AG134" s="10"/>
      <c r="AH134" s="10"/>
      <c r="AI134" s="10"/>
      <c r="AJ134" s="10"/>
      <c r="AK134" s="10"/>
      <c r="AL134" s="10"/>
      <c r="AM134" s="10"/>
      <c r="AN134" s="10"/>
      <c r="AO134" s="10"/>
      <c r="AP134" s="10"/>
      <c r="AQ134" s="10"/>
      <c r="AR134" s="10"/>
      <c r="AS134" s="10"/>
      <c r="AT134" s="10"/>
      <c r="AU134" s="303">
        <v>300</v>
      </c>
      <c r="AV134" s="122" t="s">
        <v>211</v>
      </c>
      <c r="AW134" s="30">
        <v>20</v>
      </c>
      <c r="AX134" s="30">
        <v>32</v>
      </c>
      <c r="AY134" s="30">
        <v>48</v>
      </c>
      <c r="AZ134" s="274">
        <v>100</v>
      </c>
      <c r="BA134" s="108">
        <v>73</v>
      </c>
      <c r="BB134" s="286">
        <v>30</v>
      </c>
      <c r="BC134" s="10">
        <v>33</v>
      </c>
      <c r="BD134" s="10">
        <v>32</v>
      </c>
      <c r="BE134" s="10">
        <f>BA134+BB134+BC134+BD134</f>
        <v>168</v>
      </c>
      <c r="BF134" s="108" t="s">
        <v>510</v>
      </c>
      <c r="BG134" s="108" t="s">
        <v>474</v>
      </c>
      <c r="BH134" s="108"/>
      <c r="BI134" s="108"/>
      <c r="BJ134" s="108" t="s">
        <v>506</v>
      </c>
      <c r="BK134" s="10">
        <f>SUM(AZ134+BE134+BJ134)</f>
        <v>286</v>
      </c>
      <c r="BL134" s="41">
        <f t="shared" si="30"/>
        <v>0.95333333333333337</v>
      </c>
      <c r="BM134" s="12"/>
      <c r="BN134" s="12">
        <v>0</v>
      </c>
    </row>
    <row r="135" spans="2:66" ht="72" customHeight="1" outlineLevel="1" x14ac:dyDescent="0.2">
      <c r="B135" s="48"/>
      <c r="C135" s="157"/>
      <c r="D135" s="158"/>
      <c r="E135" s="159"/>
      <c r="F135" s="64"/>
      <c r="G135" s="64" t="s">
        <v>194</v>
      </c>
      <c r="H135" s="149" t="s">
        <v>51</v>
      </c>
      <c r="I135" s="81">
        <v>20</v>
      </c>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v>20</v>
      </c>
      <c r="AV135" s="107" t="s">
        <v>211</v>
      </c>
      <c r="AW135" s="107" t="s">
        <v>211</v>
      </c>
      <c r="AX135" s="14">
        <v>1</v>
      </c>
      <c r="AY135" s="14">
        <v>4</v>
      </c>
      <c r="AZ135" s="107" t="s">
        <v>372</v>
      </c>
      <c r="BA135" s="107" t="s">
        <v>211</v>
      </c>
      <c r="BB135" s="42">
        <v>15</v>
      </c>
      <c r="BC135" s="136" t="s">
        <v>211</v>
      </c>
      <c r="BD135" s="136" t="s">
        <v>211</v>
      </c>
      <c r="BE135" s="107">
        <f t="shared" ref="BE135:BE143" si="32">SUM(BA135+BB135+BC135+BD135)</f>
        <v>15</v>
      </c>
      <c r="BF135" s="107" t="s">
        <v>211</v>
      </c>
      <c r="BG135" s="107"/>
      <c r="BH135" s="107"/>
      <c r="BI135" s="107"/>
      <c r="BJ135" s="107" t="s">
        <v>211</v>
      </c>
      <c r="BK135" s="107">
        <f>SUM(AZ135+BE135)</f>
        <v>20</v>
      </c>
      <c r="BL135" s="261">
        <f t="shared" si="30"/>
        <v>1</v>
      </c>
      <c r="BM135" s="12"/>
      <c r="BN135" s="12"/>
    </row>
    <row r="136" spans="2:66" ht="45" customHeight="1" outlineLevel="1" x14ac:dyDescent="0.2">
      <c r="B136" s="48"/>
      <c r="C136" s="157"/>
      <c r="D136" s="158"/>
      <c r="E136" s="159"/>
      <c r="F136" s="64"/>
      <c r="G136" s="64" t="s">
        <v>195</v>
      </c>
      <c r="H136" s="19" t="s">
        <v>51</v>
      </c>
      <c r="I136" s="65">
        <v>120</v>
      </c>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v>120</v>
      </c>
      <c r="AV136" s="107" t="s">
        <v>211</v>
      </c>
      <c r="AW136" s="14">
        <v>20</v>
      </c>
      <c r="AX136" s="14">
        <v>7</v>
      </c>
      <c r="AY136" s="14">
        <v>27</v>
      </c>
      <c r="AZ136" s="107" t="s">
        <v>504</v>
      </c>
      <c r="BA136" s="107">
        <v>66</v>
      </c>
      <c r="BB136" s="136" t="s">
        <v>211</v>
      </c>
      <c r="BC136" s="136" t="s">
        <v>211</v>
      </c>
      <c r="BD136" s="136" t="s">
        <v>211</v>
      </c>
      <c r="BE136" s="107">
        <f t="shared" si="32"/>
        <v>66</v>
      </c>
      <c r="BF136" s="107" t="s">
        <v>211</v>
      </c>
      <c r="BG136" s="107"/>
      <c r="BH136" s="107"/>
      <c r="BI136" s="107"/>
      <c r="BJ136" s="107" t="s">
        <v>211</v>
      </c>
      <c r="BK136" s="107">
        <f>SUM(AZ136+BE136)</f>
        <v>120</v>
      </c>
      <c r="BL136" s="261">
        <f t="shared" si="30"/>
        <v>1</v>
      </c>
      <c r="BM136" s="12"/>
      <c r="BN136" s="12"/>
    </row>
    <row r="137" spans="2:66" ht="89.25" outlineLevel="1" x14ac:dyDescent="0.2">
      <c r="B137" s="48"/>
      <c r="C137" s="410"/>
      <c r="D137" s="411"/>
      <c r="E137" s="412"/>
      <c r="F137" s="64"/>
      <c r="G137" s="64" t="s">
        <v>406</v>
      </c>
      <c r="H137" s="19" t="s">
        <v>51</v>
      </c>
      <c r="I137" s="65">
        <v>75</v>
      </c>
      <c r="J137" s="81"/>
      <c r="K137" s="81"/>
      <c r="L137" s="81"/>
      <c r="M137" s="81"/>
      <c r="N137" s="81"/>
      <c r="O137" s="81"/>
      <c r="P137" s="81"/>
      <c r="Q137" s="81"/>
      <c r="R137" s="81"/>
      <c r="S137" s="81"/>
      <c r="T137" s="81"/>
      <c r="U137" s="81"/>
      <c r="V137" s="81"/>
      <c r="W137" s="81"/>
      <c r="X137" s="81"/>
      <c r="Y137" s="81"/>
      <c r="Z137" s="81"/>
      <c r="AA137" s="81"/>
      <c r="AB137" s="81"/>
      <c r="AC137" s="10" t="s">
        <v>560</v>
      </c>
      <c r="AD137" s="308"/>
      <c r="AE137" s="308"/>
      <c r="AF137" s="308"/>
      <c r="AG137" s="308"/>
      <c r="AH137" s="308"/>
      <c r="AI137" s="308"/>
      <c r="AJ137" s="308"/>
      <c r="AK137" s="308"/>
      <c r="AL137" s="308"/>
      <c r="AM137" s="308"/>
      <c r="AN137" s="308"/>
      <c r="AO137" s="308"/>
      <c r="AP137" s="308"/>
      <c r="AQ137" s="308"/>
      <c r="AR137" s="308"/>
      <c r="AS137" s="308"/>
      <c r="AT137" s="308"/>
      <c r="AU137" s="304">
        <v>78</v>
      </c>
      <c r="AV137" s="107" t="s">
        <v>211</v>
      </c>
      <c r="AW137" s="107" t="s">
        <v>211</v>
      </c>
      <c r="AX137" s="14">
        <v>10</v>
      </c>
      <c r="AY137" s="14">
        <v>7</v>
      </c>
      <c r="AZ137" s="107" t="s">
        <v>505</v>
      </c>
      <c r="BA137" s="107" t="s">
        <v>211</v>
      </c>
      <c r="BB137" s="42">
        <v>10</v>
      </c>
      <c r="BC137" s="65">
        <v>25</v>
      </c>
      <c r="BD137" s="65">
        <v>23</v>
      </c>
      <c r="BE137" s="107">
        <f t="shared" si="32"/>
        <v>58</v>
      </c>
      <c r="BF137" s="107" t="s">
        <v>211</v>
      </c>
      <c r="BG137" s="107" t="s">
        <v>364</v>
      </c>
      <c r="BH137" s="107"/>
      <c r="BI137" s="107"/>
      <c r="BJ137" s="107" t="s">
        <v>364</v>
      </c>
      <c r="BK137" s="107" t="s">
        <v>718</v>
      </c>
      <c r="BL137" s="261">
        <f t="shared" si="30"/>
        <v>1</v>
      </c>
      <c r="BM137" s="12"/>
      <c r="BN137" s="12"/>
    </row>
    <row r="138" spans="2:66" ht="63" customHeight="1" outlineLevel="1" x14ac:dyDescent="0.2">
      <c r="B138" s="48"/>
      <c r="C138" s="157"/>
      <c r="D138" s="158"/>
      <c r="E138" s="159"/>
      <c r="F138" s="64"/>
      <c r="G138" s="64" t="s">
        <v>479</v>
      </c>
      <c r="H138" s="19" t="s">
        <v>51</v>
      </c>
      <c r="I138" s="65">
        <v>82</v>
      </c>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v>82</v>
      </c>
      <c r="AV138" s="107" t="s">
        <v>211</v>
      </c>
      <c r="AW138" s="107" t="s">
        <v>211</v>
      </c>
      <c r="AX138" s="14">
        <v>14</v>
      </c>
      <c r="AY138" s="6">
        <v>10</v>
      </c>
      <c r="AZ138" s="136" t="s">
        <v>508</v>
      </c>
      <c r="BA138" s="136">
        <v>7</v>
      </c>
      <c r="BB138" s="42">
        <v>5</v>
      </c>
      <c r="BC138" s="65">
        <v>8</v>
      </c>
      <c r="BD138" s="65">
        <v>9</v>
      </c>
      <c r="BE138" s="136">
        <f t="shared" si="32"/>
        <v>29</v>
      </c>
      <c r="BF138" s="6">
        <v>8</v>
      </c>
      <c r="BG138" s="136" t="s">
        <v>522</v>
      </c>
      <c r="BH138" s="136"/>
      <c r="BI138" s="136"/>
      <c r="BJ138" s="136" t="s">
        <v>717</v>
      </c>
      <c r="BK138" s="136">
        <f t="shared" ref="BK138" si="33">+BJ138+BE138+AZ138</f>
        <v>68</v>
      </c>
      <c r="BL138" s="68">
        <f t="shared" si="30"/>
        <v>0.82926829268292679</v>
      </c>
      <c r="BM138" s="12"/>
      <c r="BN138" s="12"/>
    </row>
    <row r="139" spans="2:66" ht="66.75" customHeight="1" x14ac:dyDescent="0.2">
      <c r="B139" s="48"/>
      <c r="C139" s="157"/>
      <c r="D139" s="158"/>
      <c r="E139" s="159"/>
      <c r="F139" s="64" t="s">
        <v>274</v>
      </c>
      <c r="G139" s="64"/>
      <c r="H139" s="155" t="s">
        <v>51</v>
      </c>
      <c r="I139" s="65">
        <v>370</v>
      </c>
      <c r="J139" s="65"/>
      <c r="K139" s="65"/>
      <c r="L139" s="65"/>
      <c r="M139" s="65" t="s">
        <v>407</v>
      </c>
      <c r="N139" s="65"/>
      <c r="O139" s="65"/>
      <c r="P139" s="65"/>
      <c r="Q139" s="65"/>
      <c r="R139" s="65"/>
      <c r="S139" s="65"/>
      <c r="T139" s="65"/>
      <c r="U139" s="65"/>
      <c r="V139" s="65"/>
      <c r="W139" s="65"/>
      <c r="X139" s="65"/>
      <c r="Y139" s="65"/>
      <c r="Z139" s="65"/>
      <c r="AA139" s="65"/>
      <c r="AB139" s="65"/>
      <c r="AC139" s="10" t="s">
        <v>563</v>
      </c>
      <c r="AD139" s="10"/>
      <c r="AE139" s="10"/>
      <c r="AF139" s="10"/>
      <c r="AG139" s="10"/>
      <c r="AH139" s="10"/>
      <c r="AI139" s="10"/>
      <c r="AJ139" s="10"/>
      <c r="AK139" s="10"/>
      <c r="AL139" s="10"/>
      <c r="AM139" s="10"/>
      <c r="AN139" s="10"/>
      <c r="AO139" s="10"/>
      <c r="AP139" s="10"/>
      <c r="AQ139" s="10"/>
      <c r="AR139" s="10"/>
      <c r="AS139" s="10"/>
      <c r="AT139" s="10"/>
      <c r="AU139" s="252">
        <v>275</v>
      </c>
      <c r="AV139" s="122" t="s">
        <v>211</v>
      </c>
      <c r="AW139" s="10">
        <v>16</v>
      </c>
      <c r="AX139" s="30">
        <v>36</v>
      </c>
      <c r="AY139" s="6">
        <v>4</v>
      </c>
      <c r="AZ139" s="108" t="s">
        <v>509</v>
      </c>
      <c r="BA139" s="108">
        <v>45</v>
      </c>
      <c r="BB139" s="286">
        <v>4</v>
      </c>
      <c r="BC139" s="10">
        <v>19</v>
      </c>
      <c r="BD139" s="108" t="s">
        <v>566</v>
      </c>
      <c r="BE139" s="108">
        <f t="shared" si="32"/>
        <v>152</v>
      </c>
      <c r="BF139" s="108" t="s">
        <v>557</v>
      </c>
      <c r="BG139" s="108" t="s">
        <v>362</v>
      </c>
      <c r="BH139" s="108"/>
      <c r="BI139" s="108"/>
      <c r="BJ139" s="108" t="s">
        <v>699</v>
      </c>
      <c r="BK139" s="108">
        <f>SUM(AZ139+BE139+BJ139)</f>
        <v>235</v>
      </c>
      <c r="BL139" s="41">
        <f t="shared" si="30"/>
        <v>0.8545454545454545</v>
      </c>
      <c r="BM139" s="12"/>
      <c r="BN139" s="12"/>
    </row>
    <row r="140" spans="2:66" ht="100.5" customHeight="1" outlineLevel="1" x14ac:dyDescent="0.2">
      <c r="B140" s="48"/>
      <c r="C140" s="157"/>
      <c r="D140" s="158"/>
      <c r="E140" s="159"/>
      <c r="F140" s="64"/>
      <c r="G140" s="64" t="s">
        <v>408</v>
      </c>
      <c r="H140" s="19" t="s">
        <v>51</v>
      </c>
      <c r="I140" s="65">
        <v>40</v>
      </c>
      <c r="J140" s="65"/>
      <c r="K140" s="65"/>
      <c r="L140" s="65"/>
      <c r="M140" s="65" t="s">
        <v>363</v>
      </c>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254">
        <v>26</v>
      </c>
      <c r="AV140" s="107" t="s">
        <v>211</v>
      </c>
      <c r="AW140" s="65">
        <v>2</v>
      </c>
      <c r="AX140" s="107" t="s">
        <v>211</v>
      </c>
      <c r="AY140" s="14">
        <v>4</v>
      </c>
      <c r="AZ140" s="107" t="s">
        <v>472</v>
      </c>
      <c r="BA140" s="107">
        <v>6</v>
      </c>
      <c r="BB140" s="42">
        <v>2</v>
      </c>
      <c r="BC140" s="65">
        <v>5</v>
      </c>
      <c r="BD140" s="65">
        <v>6</v>
      </c>
      <c r="BE140" s="107">
        <f t="shared" si="32"/>
        <v>19</v>
      </c>
      <c r="BF140" s="107" t="s">
        <v>211</v>
      </c>
      <c r="BG140" s="107" t="s">
        <v>362</v>
      </c>
      <c r="BH140" s="107"/>
      <c r="BI140" s="107"/>
      <c r="BJ140" s="107" t="s">
        <v>362</v>
      </c>
      <c r="BK140" s="107" t="s">
        <v>557</v>
      </c>
      <c r="BL140" s="284">
        <f t="shared" si="30"/>
        <v>1</v>
      </c>
      <c r="BM140" s="12"/>
      <c r="BN140" s="12"/>
    </row>
    <row r="141" spans="2:66" ht="49.5" customHeight="1" outlineLevel="1" x14ac:dyDescent="0.2">
      <c r="B141" s="48"/>
      <c r="C141" s="157"/>
      <c r="D141" s="158"/>
      <c r="E141" s="159"/>
      <c r="F141" s="59"/>
      <c r="G141" s="64" t="s">
        <v>409</v>
      </c>
      <c r="H141" s="19" t="s">
        <v>51</v>
      </c>
      <c r="I141" s="65">
        <v>120</v>
      </c>
      <c r="J141" s="65"/>
      <c r="K141" s="65"/>
      <c r="L141" s="65"/>
      <c r="M141" s="65" t="s">
        <v>410</v>
      </c>
      <c r="N141" s="65"/>
      <c r="O141" s="65"/>
      <c r="P141" s="65"/>
      <c r="Q141" s="65"/>
      <c r="R141" s="65"/>
      <c r="S141" s="65"/>
      <c r="T141" s="65"/>
      <c r="U141" s="65"/>
      <c r="V141" s="65"/>
      <c r="W141" s="65"/>
      <c r="X141" s="65"/>
      <c r="Y141" s="65"/>
      <c r="Z141" s="65"/>
      <c r="AA141" s="65"/>
      <c r="AB141" s="65"/>
      <c r="AC141" s="10" t="s">
        <v>562</v>
      </c>
      <c r="AD141" s="10"/>
      <c r="AE141" s="10"/>
      <c r="AF141" s="10"/>
      <c r="AG141" s="10"/>
      <c r="AH141" s="10"/>
      <c r="AI141" s="10"/>
      <c r="AJ141" s="10"/>
      <c r="AK141" s="10"/>
      <c r="AL141" s="10"/>
      <c r="AM141" s="10"/>
      <c r="AN141" s="10"/>
      <c r="AO141" s="10"/>
      <c r="AP141" s="10"/>
      <c r="AQ141" s="10"/>
      <c r="AR141" s="10"/>
      <c r="AS141" s="10"/>
      <c r="AT141" s="10"/>
      <c r="AU141" s="254">
        <v>102</v>
      </c>
      <c r="AV141" s="107" t="s">
        <v>211</v>
      </c>
      <c r="AW141" s="107" t="s">
        <v>211</v>
      </c>
      <c r="AX141" s="107" t="s">
        <v>211</v>
      </c>
      <c r="AY141" s="107" t="s">
        <v>211</v>
      </c>
      <c r="AZ141" s="107" t="s">
        <v>211</v>
      </c>
      <c r="BA141" s="107">
        <v>27</v>
      </c>
      <c r="BB141" s="107" t="s">
        <v>211</v>
      </c>
      <c r="BC141" s="65">
        <v>9</v>
      </c>
      <c r="BD141" s="107" t="s">
        <v>211</v>
      </c>
      <c r="BE141" s="107">
        <f t="shared" si="32"/>
        <v>36</v>
      </c>
      <c r="BF141" s="107" t="s">
        <v>557</v>
      </c>
      <c r="BG141" s="107" t="s">
        <v>211</v>
      </c>
      <c r="BH141" s="107"/>
      <c r="BI141" s="107"/>
      <c r="BJ141" s="107" t="s">
        <v>557</v>
      </c>
      <c r="BK141" s="107">
        <f t="shared" ref="BK141" si="34">+BJ141+BE141+AZ141</f>
        <v>62</v>
      </c>
      <c r="BL141" s="68">
        <f t="shared" si="30"/>
        <v>0.60784313725490191</v>
      </c>
      <c r="BM141" s="12"/>
      <c r="BN141" s="12"/>
    </row>
    <row r="142" spans="2:66" ht="83.25" customHeight="1" outlineLevel="1" x14ac:dyDescent="0.2">
      <c r="B142" s="48"/>
      <c r="C142" s="410"/>
      <c r="D142" s="411"/>
      <c r="E142" s="412"/>
      <c r="F142" s="64"/>
      <c r="G142" s="64" t="s">
        <v>275</v>
      </c>
      <c r="H142" s="19" t="s">
        <v>51</v>
      </c>
      <c r="I142" s="65">
        <v>200</v>
      </c>
      <c r="J142" s="10"/>
      <c r="K142" s="10"/>
      <c r="L142" s="10"/>
      <c r="M142" s="65" t="s">
        <v>411</v>
      </c>
      <c r="N142" s="65"/>
      <c r="O142" s="65"/>
      <c r="P142" s="65"/>
      <c r="Q142" s="65"/>
      <c r="R142" s="65"/>
      <c r="S142" s="65"/>
      <c r="T142" s="65"/>
      <c r="U142" s="65"/>
      <c r="V142" s="65"/>
      <c r="W142" s="65"/>
      <c r="X142" s="65"/>
      <c r="Y142" s="65"/>
      <c r="Z142" s="65"/>
      <c r="AA142" s="65"/>
      <c r="AB142" s="65"/>
      <c r="AC142" s="10" t="s">
        <v>528</v>
      </c>
      <c r="AD142" s="10"/>
      <c r="AE142" s="10"/>
      <c r="AF142" s="10"/>
      <c r="AG142" s="10"/>
      <c r="AH142" s="10"/>
      <c r="AI142" s="10"/>
      <c r="AJ142" s="10"/>
      <c r="AK142" s="10"/>
      <c r="AL142" s="10"/>
      <c r="AM142" s="10"/>
      <c r="AN142" s="10"/>
      <c r="AO142" s="10"/>
      <c r="AP142" s="10"/>
      <c r="AQ142" s="10"/>
      <c r="AR142" s="10"/>
      <c r="AS142" s="10"/>
      <c r="AT142" s="10"/>
      <c r="AU142" s="263">
        <v>140</v>
      </c>
      <c r="AV142" s="107" t="s">
        <v>211</v>
      </c>
      <c r="AW142" s="14">
        <v>12</v>
      </c>
      <c r="AX142" s="14">
        <v>33</v>
      </c>
      <c r="AY142" s="107" t="s">
        <v>211</v>
      </c>
      <c r="AZ142" s="107" t="s">
        <v>475</v>
      </c>
      <c r="BA142" s="107">
        <v>10</v>
      </c>
      <c r="BB142" s="42">
        <v>2</v>
      </c>
      <c r="BC142" s="65">
        <v>5</v>
      </c>
      <c r="BD142" s="65">
        <v>78</v>
      </c>
      <c r="BE142" s="107">
        <f t="shared" si="32"/>
        <v>95</v>
      </c>
      <c r="BF142" s="107" t="s">
        <v>211</v>
      </c>
      <c r="BG142" s="107" t="s">
        <v>211</v>
      </c>
      <c r="BH142" s="107"/>
      <c r="BI142" s="107"/>
      <c r="BJ142" s="107" t="s">
        <v>211</v>
      </c>
      <c r="BK142" s="107">
        <f>SUM(AZ142+BE142)</f>
        <v>140</v>
      </c>
      <c r="BL142" s="261">
        <f t="shared" si="30"/>
        <v>1</v>
      </c>
      <c r="BM142" s="53"/>
      <c r="BN142" s="53"/>
    </row>
    <row r="143" spans="2:66" ht="81.75" customHeight="1" outlineLevel="1" x14ac:dyDescent="0.2">
      <c r="B143" s="48"/>
      <c r="C143" s="381"/>
      <c r="D143" s="381"/>
      <c r="E143" s="381"/>
      <c r="F143" s="64"/>
      <c r="G143" s="64" t="s">
        <v>196</v>
      </c>
      <c r="H143" s="19" t="s">
        <v>51</v>
      </c>
      <c r="I143" s="65">
        <v>10</v>
      </c>
      <c r="J143" s="65"/>
      <c r="K143" s="65"/>
      <c r="L143" s="65"/>
      <c r="M143" s="65" t="s">
        <v>412</v>
      </c>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254">
        <v>7</v>
      </c>
      <c r="AV143" s="107" t="s">
        <v>211</v>
      </c>
      <c r="AW143" s="14">
        <v>2</v>
      </c>
      <c r="AX143" s="14">
        <v>3</v>
      </c>
      <c r="AY143" s="107" t="s">
        <v>211</v>
      </c>
      <c r="AZ143" s="107" t="s">
        <v>372</v>
      </c>
      <c r="BA143" s="107">
        <v>2</v>
      </c>
      <c r="BB143" s="107" t="s">
        <v>211</v>
      </c>
      <c r="BC143" s="107" t="s">
        <v>211</v>
      </c>
      <c r="BD143" s="107" t="s">
        <v>211</v>
      </c>
      <c r="BE143" s="107">
        <f t="shared" si="32"/>
        <v>2</v>
      </c>
      <c r="BF143" s="107" t="s">
        <v>211</v>
      </c>
      <c r="BG143" s="107" t="s">
        <v>211</v>
      </c>
      <c r="BH143" s="107"/>
      <c r="BI143" s="107"/>
      <c r="BJ143" s="107" t="s">
        <v>211</v>
      </c>
      <c r="BK143" s="107">
        <f>SUM(AZ143+BE143)</f>
        <v>7</v>
      </c>
      <c r="BL143" s="261">
        <f t="shared" si="30"/>
        <v>1</v>
      </c>
      <c r="BM143" s="53"/>
      <c r="BN143" s="53"/>
    </row>
    <row r="144" spans="2:66" s="181" customFormat="1" ht="17.25" customHeight="1" x14ac:dyDescent="0.2">
      <c r="B144" s="429" t="s">
        <v>112</v>
      </c>
      <c r="C144" s="430"/>
      <c r="D144" s="430"/>
      <c r="E144" s="430"/>
      <c r="F144" s="430"/>
      <c r="G144" s="430"/>
      <c r="H144" s="430"/>
      <c r="I144" s="430"/>
      <c r="J144" s="430"/>
      <c r="K144" s="430"/>
      <c r="L144" s="430"/>
      <c r="M144" s="430"/>
      <c r="N144" s="430"/>
      <c r="O144" s="430"/>
      <c r="P144" s="430"/>
      <c r="Q144" s="430"/>
      <c r="R144" s="430"/>
      <c r="S144" s="430"/>
      <c r="T144" s="430"/>
      <c r="U144" s="430"/>
      <c r="V144" s="430"/>
      <c r="W144" s="430"/>
      <c r="X144" s="430"/>
      <c r="Y144" s="430"/>
      <c r="Z144" s="430"/>
      <c r="AA144" s="430"/>
      <c r="AB144" s="430"/>
      <c r="AC144" s="430"/>
      <c r="AD144" s="430"/>
      <c r="AE144" s="430"/>
      <c r="AF144" s="430"/>
      <c r="AG144" s="430"/>
      <c r="AH144" s="430"/>
      <c r="AI144" s="430"/>
      <c r="AJ144" s="430"/>
      <c r="AK144" s="430"/>
      <c r="AL144" s="430"/>
      <c r="AM144" s="430"/>
      <c r="AN144" s="430"/>
      <c r="AO144" s="430"/>
      <c r="AP144" s="430"/>
      <c r="AQ144" s="430"/>
      <c r="AR144" s="430"/>
      <c r="AS144" s="430"/>
      <c r="AT144" s="430"/>
      <c r="AU144" s="430"/>
      <c r="AV144" s="430"/>
      <c r="AW144" s="430"/>
      <c r="AX144" s="430"/>
      <c r="AY144" s="430"/>
      <c r="AZ144" s="430"/>
      <c r="BA144" s="430"/>
      <c r="BB144" s="430"/>
      <c r="BC144" s="430"/>
      <c r="BD144" s="430"/>
      <c r="BE144" s="430"/>
      <c r="BF144" s="430"/>
      <c r="BG144" s="430"/>
      <c r="BH144" s="430"/>
      <c r="BI144" s="430"/>
      <c r="BJ144" s="430"/>
      <c r="BK144" s="430"/>
      <c r="BL144" s="430"/>
      <c r="BM144" s="430"/>
      <c r="BN144" s="217"/>
    </row>
    <row r="145" spans="2:67" s="181" customFormat="1" ht="18" customHeight="1" x14ac:dyDescent="0.2">
      <c r="B145" s="397" t="s">
        <v>102</v>
      </c>
      <c r="C145" s="397"/>
      <c r="D145" s="397"/>
      <c r="E145" s="397"/>
      <c r="F145" s="520" t="s">
        <v>113</v>
      </c>
      <c r="G145" s="530"/>
      <c r="H145" s="530"/>
      <c r="I145" s="530"/>
      <c r="J145" s="530"/>
      <c r="K145" s="530"/>
      <c r="L145" s="530"/>
      <c r="M145" s="530"/>
      <c r="N145" s="530"/>
      <c r="O145" s="530"/>
      <c r="P145" s="530"/>
      <c r="Q145" s="530"/>
      <c r="R145" s="530"/>
      <c r="S145" s="530"/>
      <c r="T145" s="530"/>
      <c r="U145" s="530"/>
      <c r="V145" s="530"/>
      <c r="W145" s="530"/>
      <c r="X145" s="530"/>
      <c r="Y145" s="530"/>
      <c r="Z145" s="530"/>
      <c r="AA145" s="530"/>
      <c r="AB145" s="530"/>
      <c r="AC145" s="530"/>
      <c r="AD145" s="530"/>
      <c r="AE145" s="530"/>
      <c r="AF145" s="530"/>
      <c r="AG145" s="530"/>
      <c r="AH145" s="530"/>
      <c r="AI145" s="530"/>
      <c r="AJ145" s="530"/>
      <c r="AK145" s="530"/>
      <c r="AL145" s="530"/>
      <c r="AM145" s="530"/>
      <c r="AN145" s="530"/>
      <c r="AO145" s="530"/>
      <c r="AP145" s="530"/>
      <c r="AQ145" s="530"/>
      <c r="AR145" s="530"/>
      <c r="AS145" s="530"/>
      <c r="AT145" s="530"/>
      <c r="AU145" s="530"/>
      <c r="AV145" s="530"/>
      <c r="AW145" s="530"/>
      <c r="AX145" s="530"/>
      <c r="AY145" s="530"/>
      <c r="AZ145" s="530"/>
      <c r="BA145" s="530"/>
      <c r="BB145" s="530"/>
      <c r="BC145" s="530"/>
      <c r="BD145" s="530"/>
      <c r="BE145" s="530"/>
      <c r="BF145" s="530"/>
      <c r="BG145" s="530"/>
      <c r="BH145" s="530"/>
      <c r="BI145" s="530"/>
      <c r="BJ145" s="530"/>
      <c r="BK145" s="530"/>
      <c r="BL145" s="530"/>
      <c r="BM145" s="530"/>
      <c r="BN145" s="521"/>
    </row>
    <row r="146" spans="2:67" s="181" customFormat="1" ht="17.25" customHeight="1" x14ac:dyDescent="0.2">
      <c r="B146" s="387" t="s">
        <v>103</v>
      </c>
      <c r="C146" s="387"/>
      <c r="D146" s="387"/>
      <c r="E146" s="387"/>
      <c r="F146" s="520" t="s">
        <v>114</v>
      </c>
      <c r="G146" s="530"/>
      <c r="H146" s="530"/>
      <c r="I146" s="530"/>
      <c r="J146" s="530"/>
      <c r="K146" s="530"/>
      <c r="L146" s="530"/>
      <c r="M146" s="530"/>
      <c r="N146" s="530"/>
      <c r="O146" s="530"/>
      <c r="P146" s="530"/>
      <c r="Q146" s="530"/>
      <c r="R146" s="530"/>
      <c r="S146" s="530"/>
      <c r="T146" s="530"/>
      <c r="U146" s="530"/>
      <c r="V146" s="530"/>
      <c r="W146" s="530"/>
      <c r="X146" s="530"/>
      <c r="Y146" s="530"/>
      <c r="Z146" s="530"/>
      <c r="AA146" s="530"/>
      <c r="AB146" s="530"/>
      <c r="AC146" s="530"/>
      <c r="AD146" s="530"/>
      <c r="AE146" s="530"/>
      <c r="AF146" s="530"/>
      <c r="AG146" s="530"/>
      <c r="AH146" s="530"/>
      <c r="AI146" s="530"/>
      <c r="AJ146" s="530"/>
      <c r="AK146" s="530"/>
      <c r="AL146" s="530"/>
      <c r="AM146" s="530"/>
      <c r="AN146" s="530"/>
      <c r="AO146" s="530"/>
      <c r="AP146" s="530"/>
      <c r="AQ146" s="530"/>
      <c r="AR146" s="530"/>
      <c r="AS146" s="530"/>
      <c r="AT146" s="530"/>
      <c r="AU146" s="530"/>
      <c r="AV146" s="530"/>
      <c r="AW146" s="530"/>
      <c r="AX146" s="530"/>
      <c r="AY146" s="530"/>
      <c r="AZ146" s="530"/>
      <c r="BA146" s="530"/>
      <c r="BB146" s="530"/>
      <c r="BC146" s="530"/>
      <c r="BD146" s="530"/>
      <c r="BE146" s="530"/>
      <c r="BF146" s="530"/>
      <c r="BG146" s="530"/>
      <c r="BH146" s="530"/>
      <c r="BI146" s="530"/>
      <c r="BJ146" s="530"/>
      <c r="BK146" s="530"/>
      <c r="BL146" s="530"/>
      <c r="BM146" s="530"/>
      <c r="BN146" s="521"/>
    </row>
    <row r="147" spans="2:67" ht="21" customHeight="1" x14ac:dyDescent="0.2">
      <c r="B147" s="88"/>
      <c r="C147" s="413" t="s">
        <v>235</v>
      </c>
      <c r="D147" s="414"/>
      <c r="E147" s="414"/>
      <c r="F147" s="414"/>
      <c r="G147" s="414"/>
      <c r="H147" s="414"/>
      <c r="I147" s="414"/>
      <c r="J147" s="414"/>
      <c r="K147" s="414"/>
      <c r="L147" s="414"/>
      <c r="M147" s="414"/>
      <c r="N147" s="414"/>
      <c r="O147" s="414"/>
      <c r="P147" s="414"/>
      <c r="Q147" s="414"/>
      <c r="R147" s="414"/>
      <c r="S147" s="414"/>
      <c r="T147" s="414"/>
      <c r="U147" s="414"/>
      <c r="V147" s="414"/>
      <c r="W147" s="414"/>
      <c r="X147" s="414"/>
      <c r="Y147" s="414"/>
      <c r="Z147" s="414"/>
      <c r="AA147" s="414"/>
      <c r="AB147" s="414"/>
      <c r="AC147" s="414"/>
      <c r="AD147" s="414"/>
      <c r="AE147" s="414"/>
      <c r="AF147" s="414"/>
      <c r="AG147" s="414"/>
      <c r="AH147" s="414"/>
      <c r="AI147" s="414"/>
      <c r="AJ147" s="414"/>
      <c r="AK147" s="414"/>
      <c r="AL147" s="414"/>
      <c r="AM147" s="414"/>
      <c r="AN147" s="414"/>
      <c r="AO147" s="414"/>
      <c r="AP147" s="414"/>
      <c r="AQ147" s="414"/>
      <c r="AR147" s="414"/>
      <c r="AS147" s="414"/>
      <c r="AT147" s="414"/>
      <c r="AU147" s="414"/>
      <c r="AV147" s="414"/>
      <c r="AW147" s="414"/>
      <c r="AX147" s="414"/>
      <c r="AY147" s="414"/>
      <c r="AZ147" s="414"/>
      <c r="BA147" s="414"/>
      <c r="BB147" s="414"/>
      <c r="BC147" s="414"/>
      <c r="BD147" s="414"/>
      <c r="BE147" s="414"/>
      <c r="BF147" s="414"/>
      <c r="BG147" s="414"/>
      <c r="BH147" s="414"/>
      <c r="BI147" s="414"/>
      <c r="BJ147" s="414"/>
      <c r="BK147" s="414"/>
      <c r="BL147" s="414"/>
      <c r="BM147" s="414"/>
      <c r="BN147" s="415"/>
    </row>
    <row r="148" spans="2:67" ht="56.25" customHeight="1" x14ac:dyDescent="0.2">
      <c r="B148" s="184" t="s">
        <v>139</v>
      </c>
      <c r="C148" s="401" t="s">
        <v>94</v>
      </c>
      <c r="D148" s="402"/>
      <c r="E148" s="403"/>
      <c r="F148" s="185" t="s">
        <v>95</v>
      </c>
      <c r="G148" s="186" t="s">
        <v>4</v>
      </c>
      <c r="H148" s="187" t="s">
        <v>3</v>
      </c>
      <c r="I148" s="188" t="s">
        <v>96</v>
      </c>
      <c r="J148" s="207" t="s">
        <v>494</v>
      </c>
      <c r="K148" s="207" t="s">
        <v>495</v>
      </c>
      <c r="L148" s="207" t="s">
        <v>380</v>
      </c>
      <c r="M148" s="208" t="s">
        <v>381</v>
      </c>
      <c r="N148" s="207" t="s">
        <v>517</v>
      </c>
      <c r="O148" s="207" t="s">
        <v>518</v>
      </c>
      <c r="P148" s="207" t="s">
        <v>490</v>
      </c>
      <c r="Q148" s="208" t="s">
        <v>491</v>
      </c>
      <c r="R148" s="208" t="s">
        <v>492</v>
      </c>
      <c r="S148" s="208" t="s">
        <v>493</v>
      </c>
      <c r="T148" s="208" t="s">
        <v>519</v>
      </c>
      <c r="U148" s="208" t="s">
        <v>523</v>
      </c>
      <c r="V148" s="208" t="s">
        <v>525</v>
      </c>
      <c r="W148" s="208" t="s">
        <v>571</v>
      </c>
      <c r="X148" s="208" t="s">
        <v>538</v>
      </c>
      <c r="Y148" s="208" t="s">
        <v>553</v>
      </c>
      <c r="Z148" s="208" t="s">
        <v>554</v>
      </c>
      <c r="AA148" s="307" t="s">
        <v>581</v>
      </c>
      <c r="AB148" s="208" t="s">
        <v>570</v>
      </c>
      <c r="AC148" s="307" t="s">
        <v>564</v>
      </c>
      <c r="AD148" s="307" t="s">
        <v>582</v>
      </c>
      <c r="AE148" s="309" t="s">
        <v>578</v>
      </c>
      <c r="AF148" s="307" t="s">
        <v>635</v>
      </c>
      <c r="AG148" s="307" t="s">
        <v>590</v>
      </c>
      <c r="AH148" s="307" t="s">
        <v>606</v>
      </c>
      <c r="AI148" s="307" t="s">
        <v>636</v>
      </c>
      <c r="AJ148" s="307" t="s">
        <v>623</v>
      </c>
      <c r="AK148" s="307" t="s">
        <v>628</v>
      </c>
      <c r="AL148" s="307" t="s">
        <v>637</v>
      </c>
      <c r="AM148" s="307" t="s">
        <v>641</v>
      </c>
      <c r="AN148" s="307" t="s">
        <v>643</v>
      </c>
      <c r="AO148" s="307" t="s">
        <v>646</v>
      </c>
      <c r="AP148" s="307" t="s">
        <v>650</v>
      </c>
      <c r="AQ148" s="307" t="s">
        <v>689</v>
      </c>
      <c r="AR148" s="307" t="s">
        <v>697</v>
      </c>
      <c r="AS148" s="307" t="s">
        <v>725</v>
      </c>
      <c r="AT148" s="307" t="s">
        <v>729</v>
      </c>
      <c r="AU148" s="188" t="s">
        <v>150</v>
      </c>
      <c r="AV148" s="1" t="s">
        <v>5</v>
      </c>
      <c r="AW148" s="1" t="s">
        <v>6</v>
      </c>
      <c r="AX148" s="1" t="s">
        <v>7</v>
      </c>
      <c r="AY148" s="1" t="s">
        <v>8</v>
      </c>
      <c r="AZ148" s="34" t="s">
        <v>157</v>
      </c>
      <c r="BA148" s="2" t="s">
        <v>9</v>
      </c>
      <c r="BB148" s="2" t="s">
        <v>10</v>
      </c>
      <c r="BC148" s="2" t="s">
        <v>11</v>
      </c>
      <c r="BD148" s="2" t="s">
        <v>12</v>
      </c>
      <c r="BE148" s="34" t="s">
        <v>158</v>
      </c>
      <c r="BF148" s="2" t="s">
        <v>13</v>
      </c>
      <c r="BG148" s="2" t="s">
        <v>14</v>
      </c>
      <c r="BH148" s="2" t="s">
        <v>15</v>
      </c>
      <c r="BI148" s="2" t="s">
        <v>16</v>
      </c>
      <c r="BJ148" s="34" t="s">
        <v>159</v>
      </c>
      <c r="BK148" s="189" t="s">
        <v>97</v>
      </c>
      <c r="BL148" s="189" t="s">
        <v>98</v>
      </c>
      <c r="BM148" s="190" t="s">
        <v>248</v>
      </c>
      <c r="BN148" s="189" t="s">
        <v>99</v>
      </c>
    </row>
    <row r="149" spans="2:67" ht="94.5" customHeight="1" x14ac:dyDescent="0.2">
      <c r="B149" s="30">
        <v>2</v>
      </c>
      <c r="C149" s="378" t="s">
        <v>276</v>
      </c>
      <c r="D149" s="379"/>
      <c r="E149" s="380"/>
      <c r="F149" s="48"/>
      <c r="G149" s="200"/>
      <c r="H149" s="155" t="s">
        <v>25</v>
      </c>
      <c r="I149" s="5">
        <v>435</v>
      </c>
      <c r="J149" s="5" t="s">
        <v>355</v>
      </c>
      <c r="K149" s="5"/>
      <c r="L149" s="5"/>
      <c r="M149" s="5" t="s">
        <v>415</v>
      </c>
      <c r="N149" s="5"/>
      <c r="O149" s="65" t="s">
        <v>467</v>
      </c>
      <c r="P149" s="48"/>
      <c r="Q149" s="48"/>
      <c r="R149" s="48"/>
      <c r="S149" s="48"/>
      <c r="T149" s="48"/>
      <c r="U149" s="48"/>
      <c r="V149" s="48"/>
      <c r="W149" s="48"/>
      <c r="X149" s="48"/>
      <c r="Y149" s="48"/>
      <c r="Z149" s="48"/>
      <c r="AA149" s="48"/>
      <c r="AB149" s="48"/>
      <c r="AC149" s="48"/>
      <c r="AD149" s="48"/>
      <c r="AE149" s="48"/>
      <c r="AF149" s="316" t="s">
        <v>587</v>
      </c>
      <c r="AG149" s="316"/>
      <c r="AH149" s="316"/>
      <c r="AI149" s="316"/>
      <c r="AJ149" s="316"/>
      <c r="AK149" s="316"/>
      <c r="AL149" s="316"/>
      <c r="AM149" s="316"/>
      <c r="AN149" s="316"/>
      <c r="AO149" s="316"/>
      <c r="AP149" s="316"/>
      <c r="AQ149" s="316"/>
      <c r="AR149" s="316"/>
      <c r="AS149" s="316"/>
      <c r="AT149" s="316"/>
      <c r="AU149" s="239">
        <v>486</v>
      </c>
      <c r="AV149" s="112">
        <f t="shared" ref="AV149:BB149" si="35">+AV150+AV151+AV152</f>
        <v>14</v>
      </c>
      <c r="AW149" s="5">
        <f t="shared" si="35"/>
        <v>48</v>
      </c>
      <c r="AX149" s="112">
        <f t="shared" si="35"/>
        <v>57</v>
      </c>
      <c r="AY149" s="5">
        <f t="shared" si="35"/>
        <v>52</v>
      </c>
      <c r="AZ149" s="5">
        <f t="shared" si="35"/>
        <v>171</v>
      </c>
      <c r="BA149" s="5">
        <f t="shared" si="35"/>
        <v>63</v>
      </c>
      <c r="BB149" s="112">
        <f t="shared" si="35"/>
        <v>100</v>
      </c>
      <c r="BC149" s="5">
        <f>+BC150+BC151+BC152</f>
        <v>25</v>
      </c>
      <c r="BD149" s="113" t="s">
        <v>372</v>
      </c>
      <c r="BE149" s="7">
        <f>+BE150+BE151+BE152</f>
        <v>193</v>
      </c>
      <c r="BF149" s="5">
        <f>SUM(BF150:BF152)</f>
        <v>50</v>
      </c>
      <c r="BG149" s="112" t="s">
        <v>686</v>
      </c>
      <c r="BH149" s="113"/>
      <c r="BI149" s="113"/>
      <c r="BJ149" s="7">
        <v>102</v>
      </c>
      <c r="BK149" s="7">
        <f>SUM(AZ149+BE149+BJ149)</f>
        <v>466</v>
      </c>
      <c r="BL149" s="41">
        <f t="shared" ref="BL149:BL164" si="36">SUM(BK149/AU149)</f>
        <v>0.95884773662551437</v>
      </c>
      <c r="BM149" s="3">
        <v>13580438</v>
      </c>
      <c r="BN149" s="123" t="s">
        <v>655</v>
      </c>
      <c r="BO149" s="61">
        <f>31+31+31+31</f>
        <v>124</v>
      </c>
    </row>
    <row r="150" spans="2:67" ht="70.5" customHeight="1" outlineLevel="1" x14ac:dyDescent="0.2">
      <c r="B150" s="39"/>
      <c r="C150" s="410"/>
      <c r="D150" s="411"/>
      <c r="E150" s="412"/>
      <c r="F150" s="64" t="s">
        <v>277</v>
      </c>
      <c r="G150" s="200"/>
      <c r="H150" s="155" t="s">
        <v>25</v>
      </c>
      <c r="I150" s="5">
        <v>25</v>
      </c>
      <c r="J150" s="5"/>
      <c r="K150" s="5"/>
      <c r="L150" s="5"/>
      <c r="M150" s="65" t="s">
        <v>413</v>
      </c>
      <c r="N150" s="65"/>
      <c r="O150" s="65" t="s">
        <v>420</v>
      </c>
      <c r="P150" s="48"/>
      <c r="Q150" s="48"/>
      <c r="R150" s="48"/>
      <c r="S150" s="48"/>
      <c r="T150" s="48"/>
      <c r="U150" s="48"/>
      <c r="V150" s="48"/>
      <c r="W150" s="48"/>
      <c r="X150" s="48"/>
      <c r="Y150" s="48"/>
      <c r="Z150" s="48"/>
      <c r="AA150" s="48"/>
      <c r="AB150" s="48"/>
      <c r="AC150" s="48"/>
      <c r="AD150" s="48"/>
      <c r="AE150" s="48"/>
      <c r="AF150" s="316"/>
      <c r="AG150" s="316"/>
      <c r="AH150" s="316"/>
      <c r="AI150" s="316"/>
      <c r="AJ150" s="316"/>
      <c r="AK150" s="316"/>
      <c r="AL150" s="316"/>
      <c r="AM150" s="316"/>
      <c r="AN150" s="316"/>
      <c r="AO150" s="316"/>
      <c r="AP150" s="316"/>
      <c r="AQ150" s="316"/>
      <c r="AR150" s="316"/>
      <c r="AS150" s="316"/>
      <c r="AT150" s="316"/>
      <c r="AU150" s="239">
        <v>24</v>
      </c>
      <c r="AV150" s="5">
        <v>6</v>
      </c>
      <c r="AW150" s="5">
        <v>1</v>
      </c>
      <c r="AX150" s="5">
        <v>4</v>
      </c>
      <c r="AY150" s="122" t="s">
        <v>211</v>
      </c>
      <c r="AZ150" s="7">
        <f>SUM(AV150:AY150)</f>
        <v>11</v>
      </c>
      <c r="BA150" s="7">
        <v>6</v>
      </c>
      <c r="BB150" s="5">
        <v>3</v>
      </c>
      <c r="BC150" s="5">
        <v>2</v>
      </c>
      <c r="BD150" s="113" t="s">
        <v>211</v>
      </c>
      <c r="BE150" s="7">
        <f t="shared" ref="BE150:BE164" si="37">SUM(BA150+BB150+BC150+BD150)</f>
        <v>11</v>
      </c>
      <c r="BF150" s="5">
        <v>2</v>
      </c>
      <c r="BG150" s="113" t="s">
        <v>211</v>
      </c>
      <c r="BH150" s="113"/>
      <c r="BI150" s="113"/>
      <c r="BJ150" s="7">
        <f>SUM(BF150:BI150)</f>
        <v>2</v>
      </c>
      <c r="BK150" s="7">
        <f>SUM(AZ150+BE150+BJ150)</f>
        <v>24</v>
      </c>
      <c r="BL150" s="298">
        <f t="shared" si="36"/>
        <v>1</v>
      </c>
      <c r="BM150" s="3"/>
      <c r="BN150" s="53"/>
      <c r="BO150" s="61">
        <v>0</v>
      </c>
    </row>
    <row r="151" spans="2:67" ht="60" customHeight="1" outlineLevel="1" x14ac:dyDescent="0.2">
      <c r="B151" s="48"/>
      <c r="C151" s="410"/>
      <c r="D151" s="411"/>
      <c r="E151" s="412"/>
      <c r="F151" s="64" t="s">
        <v>278</v>
      </c>
      <c r="G151" s="200"/>
      <c r="H151" s="155" t="s">
        <v>25</v>
      </c>
      <c r="I151" s="5">
        <v>350</v>
      </c>
      <c r="J151" s="5" t="s">
        <v>355</v>
      </c>
      <c r="K151" s="5"/>
      <c r="L151" s="5"/>
      <c r="M151" s="5" t="s">
        <v>414</v>
      </c>
      <c r="N151" s="5"/>
      <c r="O151" s="65" t="s">
        <v>465</v>
      </c>
      <c r="P151" s="48"/>
      <c r="Q151" s="48"/>
      <c r="R151" s="48"/>
      <c r="S151" s="48"/>
      <c r="T151" s="48"/>
      <c r="U151" s="48"/>
      <c r="V151" s="48"/>
      <c r="W151" s="48"/>
      <c r="X151" s="48"/>
      <c r="Y151" s="48"/>
      <c r="Z151" s="48"/>
      <c r="AA151" s="48"/>
      <c r="AB151" s="48"/>
      <c r="AC151" s="48"/>
      <c r="AD151" s="48"/>
      <c r="AE151" s="48"/>
      <c r="AF151" s="316" t="s">
        <v>587</v>
      </c>
      <c r="AG151" s="316"/>
      <c r="AH151" s="316"/>
      <c r="AI151" s="316"/>
      <c r="AJ151" s="316"/>
      <c r="AK151" s="316"/>
      <c r="AL151" s="316"/>
      <c r="AM151" s="316"/>
      <c r="AN151" s="316"/>
      <c r="AO151" s="316"/>
      <c r="AP151" s="316"/>
      <c r="AQ151" s="316"/>
      <c r="AR151" s="316"/>
      <c r="AS151" s="316"/>
      <c r="AT151" s="316"/>
      <c r="AU151" s="239">
        <v>402</v>
      </c>
      <c r="AV151" s="5">
        <v>8</v>
      </c>
      <c r="AW151" s="5">
        <v>32</v>
      </c>
      <c r="AX151" s="5">
        <v>53</v>
      </c>
      <c r="AY151" s="5">
        <v>48</v>
      </c>
      <c r="AZ151" s="7">
        <f>SUM(AV151:AY151)</f>
        <v>141</v>
      </c>
      <c r="BA151" s="7">
        <v>50</v>
      </c>
      <c r="BB151" s="5">
        <v>97</v>
      </c>
      <c r="BC151" s="5">
        <v>21</v>
      </c>
      <c r="BD151" s="113" t="s">
        <v>211</v>
      </c>
      <c r="BE151" s="7">
        <f t="shared" si="37"/>
        <v>168</v>
      </c>
      <c r="BF151" s="5">
        <v>48</v>
      </c>
      <c r="BG151" s="113" t="s">
        <v>475</v>
      </c>
      <c r="BH151" s="113"/>
      <c r="BI151" s="113"/>
      <c r="BJ151" s="7">
        <v>93</v>
      </c>
      <c r="BK151" s="7">
        <f t="shared" ref="BK151:BK164" si="38">SUM(AZ151+BE151+BJ151)</f>
        <v>402</v>
      </c>
      <c r="BL151" s="298">
        <f t="shared" si="36"/>
        <v>1</v>
      </c>
      <c r="BM151" s="3"/>
      <c r="BN151" s="53"/>
      <c r="BO151" s="61">
        <f>21+21+21+21</f>
        <v>84</v>
      </c>
    </row>
    <row r="152" spans="2:67" ht="74.25" customHeight="1" outlineLevel="1" x14ac:dyDescent="0.2">
      <c r="B152" s="39"/>
      <c r="C152" s="410"/>
      <c r="D152" s="411"/>
      <c r="E152" s="412"/>
      <c r="F152" s="64" t="s">
        <v>279</v>
      </c>
      <c r="G152" s="200"/>
      <c r="H152" s="155" t="s">
        <v>25</v>
      </c>
      <c r="I152" s="5">
        <v>60</v>
      </c>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v>60</v>
      </c>
      <c r="AV152" s="112" t="s">
        <v>211</v>
      </c>
      <c r="AW152" s="5">
        <v>15</v>
      </c>
      <c r="AX152" s="112" t="s">
        <v>211</v>
      </c>
      <c r="AY152" s="112" t="s">
        <v>476</v>
      </c>
      <c r="AZ152" s="112" t="s">
        <v>498</v>
      </c>
      <c r="BA152" s="7">
        <v>7</v>
      </c>
      <c r="BB152" s="112" t="s">
        <v>211</v>
      </c>
      <c r="BC152" s="5">
        <v>2</v>
      </c>
      <c r="BD152" s="112" t="s">
        <v>372</v>
      </c>
      <c r="BE152" s="112">
        <f t="shared" si="37"/>
        <v>14</v>
      </c>
      <c r="BF152" s="112" t="s">
        <v>211</v>
      </c>
      <c r="BG152" s="112" t="s">
        <v>522</v>
      </c>
      <c r="BH152" s="112"/>
      <c r="BI152" s="112"/>
      <c r="BJ152" s="112" t="s">
        <v>522</v>
      </c>
      <c r="BK152" s="112">
        <f t="shared" si="38"/>
        <v>40</v>
      </c>
      <c r="BL152" s="41">
        <f t="shared" si="36"/>
        <v>0.66666666666666663</v>
      </c>
      <c r="BM152" s="3"/>
      <c r="BN152" s="53"/>
      <c r="BO152" s="61">
        <f>10+10+10+10</f>
        <v>40</v>
      </c>
    </row>
    <row r="153" spans="2:67" ht="119.25" customHeight="1" x14ac:dyDescent="0.2">
      <c r="B153" s="48"/>
      <c r="C153" s="410"/>
      <c r="D153" s="411"/>
      <c r="E153" s="412"/>
      <c r="F153" s="19"/>
      <c r="G153" s="64" t="s">
        <v>217</v>
      </c>
      <c r="H153" s="19" t="s">
        <v>27</v>
      </c>
      <c r="I153" s="8">
        <v>48</v>
      </c>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v>48</v>
      </c>
      <c r="AV153" s="8">
        <v>2</v>
      </c>
      <c r="AW153" s="8">
        <v>12</v>
      </c>
      <c r="AX153" s="8">
        <v>17</v>
      </c>
      <c r="AY153" s="8">
        <v>9</v>
      </c>
      <c r="AZ153" s="6">
        <v>40</v>
      </c>
      <c r="BA153" s="6">
        <v>8</v>
      </c>
      <c r="BB153" s="111" t="s">
        <v>211</v>
      </c>
      <c r="BC153" s="111" t="s">
        <v>211</v>
      </c>
      <c r="BD153" s="109" t="s">
        <v>211</v>
      </c>
      <c r="BE153" s="109">
        <f t="shared" si="37"/>
        <v>8</v>
      </c>
      <c r="BF153" s="111" t="s">
        <v>211</v>
      </c>
      <c r="BG153" s="111" t="s">
        <v>211</v>
      </c>
      <c r="BH153" s="109"/>
      <c r="BI153" s="109"/>
      <c r="BJ153" s="109" t="s">
        <v>211</v>
      </c>
      <c r="BK153" s="6">
        <f t="shared" si="38"/>
        <v>48</v>
      </c>
      <c r="BL153" s="261">
        <f t="shared" si="36"/>
        <v>1</v>
      </c>
      <c r="BM153" s="12"/>
      <c r="BN153" s="12"/>
    </row>
    <row r="154" spans="2:67" ht="33" customHeight="1" x14ac:dyDescent="0.2">
      <c r="B154" s="48"/>
      <c r="C154" s="410"/>
      <c r="D154" s="411"/>
      <c r="E154" s="412"/>
      <c r="F154" s="19"/>
      <c r="G154" s="16" t="s">
        <v>52</v>
      </c>
      <c r="H154" s="65" t="s">
        <v>28</v>
      </c>
      <c r="I154" s="8">
        <v>100</v>
      </c>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v>100</v>
      </c>
      <c r="AV154" s="8">
        <v>4</v>
      </c>
      <c r="AW154" s="8">
        <v>1</v>
      </c>
      <c r="AX154" s="8">
        <v>1</v>
      </c>
      <c r="AY154" s="8">
        <v>4</v>
      </c>
      <c r="AZ154" s="6">
        <f t="shared" ref="AZ154:AZ162" si="39">SUM(AV154:AY154)</f>
        <v>10</v>
      </c>
      <c r="BA154" s="8">
        <v>57</v>
      </c>
      <c r="BB154" s="8">
        <v>1</v>
      </c>
      <c r="BC154" s="8">
        <v>3</v>
      </c>
      <c r="BD154" s="8">
        <v>5</v>
      </c>
      <c r="BE154" s="6">
        <f t="shared" si="37"/>
        <v>66</v>
      </c>
      <c r="BF154" s="8">
        <v>2</v>
      </c>
      <c r="BG154" s="8">
        <v>3</v>
      </c>
      <c r="BH154" s="8"/>
      <c r="BI154" s="8"/>
      <c r="BJ154" s="6">
        <f t="shared" ref="BJ154:BJ164" si="40">SUM(BF154:BI154)</f>
        <v>5</v>
      </c>
      <c r="BK154" s="6">
        <f t="shared" si="38"/>
        <v>81</v>
      </c>
      <c r="BL154" s="68">
        <f t="shared" si="36"/>
        <v>0.81</v>
      </c>
      <c r="BM154" s="3"/>
      <c r="BN154" s="12"/>
    </row>
    <row r="155" spans="2:67" ht="18.75" customHeight="1" x14ac:dyDescent="0.2">
      <c r="B155" s="48"/>
      <c r="C155" s="410"/>
      <c r="D155" s="411"/>
      <c r="E155" s="412"/>
      <c r="F155" s="19"/>
      <c r="G155" s="16" t="s">
        <v>53</v>
      </c>
      <c r="H155" s="65" t="s">
        <v>25</v>
      </c>
      <c r="I155" s="66">
        <v>370</v>
      </c>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v>370</v>
      </c>
      <c r="AV155" s="8">
        <v>71</v>
      </c>
      <c r="AW155" s="8">
        <v>47</v>
      </c>
      <c r="AX155" s="8">
        <v>72</v>
      </c>
      <c r="AY155" s="8">
        <v>40</v>
      </c>
      <c r="AZ155" s="6">
        <f t="shared" si="39"/>
        <v>230</v>
      </c>
      <c r="BA155" s="8">
        <v>1</v>
      </c>
      <c r="BB155" s="8">
        <v>75</v>
      </c>
      <c r="BC155" s="8">
        <v>46</v>
      </c>
      <c r="BD155" s="8">
        <v>4</v>
      </c>
      <c r="BE155" s="6">
        <f t="shared" si="37"/>
        <v>126</v>
      </c>
      <c r="BF155" s="8">
        <v>14</v>
      </c>
      <c r="BG155" s="111" t="s">
        <v>211</v>
      </c>
      <c r="BH155" s="8"/>
      <c r="BI155" s="8"/>
      <c r="BJ155" s="6">
        <f t="shared" si="40"/>
        <v>14</v>
      </c>
      <c r="BK155" s="6">
        <f t="shared" si="38"/>
        <v>370</v>
      </c>
      <c r="BL155" s="284">
        <f t="shared" si="36"/>
        <v>1</v>
      </c>
      <c r="BM155" s="12"/>
      <c r="BN155" s="12"/>
    </row>
    <row r="156" spans="2:67" ht="108" customHeight="1" x14ac:dyDescent="0.2">
      <c r="B156" s="48"/>
      <c r="C156" s="410"/>
      <c r="D156" s="411"/>
      <c r="E156" s="412"/>
      <c r="F156" s="19"/>
      <c r="G156" s="16" t="s">
        <v>54</v>
      </c>
      <c r="H156" s="65" t="s">
        <v>25</v>
      </c>
      <c r="I156" s="8">
        <v>45</v>
      </c>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v>45</v>
      </c>
      <c r="AV156" s="8">
        <v>2</v>
      </c>
      <c r="AW156" s="8">
        <v>13</v>
      </c>
      <c r="AX156" s="111" t="s">
        <v>211</v>
      </c>
      <c r="AY156" s="111" t="s">
        <v>211</v>
      </c>
      <c r="AZ156" s="6">
        <f t="shared" si="39"/>
        <v>15</v>
      </c>
      <c r="BA156" s="8">
        <v>5</v>
      </c>
      <c r="BB156" s="8">
        <v>5</v>
      </c>
      <c r="BC156" s="8">
        <v>7</v>
      </c>
      <c r="BD156" s="8">
        <v>4</v>
      </c>
      <c r="BE156" s="6">
        <f t="shared" si="37"/>
        <v>21</v>
      </c>
      <c r="BF156" s="109" t="s">
        <v>211</v>
      </c>
      <c r="BG156" s="8">
        <v>9</v>
      </c>
      <c r="BH156" s="8"/>
      <c r="BI156" s="109"/>
      <c r="BJ156" s="109" t="s">
        <v>627</v>
      </c>
      <c r="BK156" s="6">
        <f t="shared" si="38"/>
        <v>45</v>
      </c>
      <c r="BL156" s="299">
        <f t="shared" si="36"/>
        <v>1</v>
      </c>
      <c r="BM156" s="12"/>
      <c r="BN156" s="12"/>
    </row>
    <row r="157" spans="2:67" ht="48.75" customHeight="1" x14ac:dyDescent="0.2">
      <c r="B157" s="48"/>
      <c r="C157" s="410"/>
      <c r="D157" s="411"/>
      <c r="E157" s="412"/>
      <c r="F157" s="19"/>
      <c r="G157" s="16" t="s">
        <v>161</v>
      </c>
      <c r="H157" s="65" t="s">
        <v>25</v>
      </c>
      <c r="I157" s="8">
        <v>1000</v>
      </c>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v>1000</v>
      </c>
      <c r="AV157" s="8">
        <v>32</v>
      </c>
      <c r="AW157" s="8">
        <v>396</v>
      </c>
      <c r="AX157" s="111" t="s">
        <v>211</v>
      </c>
      <c r="AY157" s="8">
        <v>3</v>
      </c>
      <c r="AZ157" s="6">
        <f t="shared" si="39"/>
        <v>431</v>
      </c>
      <c r="BA157" s="8">
        <v>32</v>
      </c>
      <c r="BB157" s="8">
        <v>80</v>
      </c>
      <c r="BC157" s="8">
        <v>73</v>
      </c>
      <c r="BD157" s="8">
        <v>40</v>
      </c>
      <c r="BE157" s="6">
        <f t="shared" si="37"/>
        <v>225</v>
      </c>
      <c r="BF157" s="8">
        <v>82</v>
      </c>
      <c r="BG157" s="8">
        <v>15</v>
      </c>
      <c r="BH157" s="8"/>
      <c r="BI157" s="109"/>
      <c r="BJ157" s="6">
        <f t="shared" si="40"/>
        <v>97</v>
      </c>
      <c r="BK157" s="6">
        <f t="shared" si="38"/>
        <v>753</v>
      </c>
      <c r="BL157" s="63">
        <f t="shared" si="36"/>
        <v>0.753</v>
      </c>
      <c r="BM157" s="12"/>
      <c r="BN157" s="12"/>
    </row>
    <row r="158" spans="2:67" ht="31.5" customHeight="1" x14ac:dyDescent="0.2">
      <c r="B158" s="48"/>
      <c r="C158" s="410"/>
      <c r="D158" s="411"/>
      <c r="E158" s="412"/>
      <c r="F158" s="19"/>
      <c r="G158" s="16" t="s">
        <v>162</v>
      </c>
      <c r="H158" s="65" t="s">
        <v>25</v>
      </c>
      <c r="I158" s="66">
        <v>1050</v>
      </c>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v>1050</v>
      </c>
      <c r="AV158" s="8">
        <v>24</v>
      </c>
      <c r="AW158" s="8">
        <v>89</v>
      </c>
      <c r="AX158" s="8">
        <v>278</v>
      </c>
      <c r="AY158" s="8">
        <v>231</v>
      </c>
      <c r="AZ158" s="6">
        <f t="shared" si="39"/>
        <v>622</v>
      </c>
      <c r="BA158" s="8">
        <v>195</v>
      </c>
      <c r="BB158" s="8">
        <v>233</v>
      </c>
      <c r="BC158" s="111" t="s">
        <v>211</v>
      </c>
      <c r="BD158" s="109" t="s">
        <v>211</v>
      </c>
      <c r="BE158" s="6">
        <f t="shared" si="37"/>
        <v>428</v>
      </c>
      <c r="BF158" s="111" t="s">
        <v>211</v>
      </c>
      <c r="BG158" s="111" t="s">
        <v>211</v>
      </c>
      <c r="BH158" s="111"/>
      <c r="BI158" s="111"/>
      <c r="BJ158" s="109" t="s">
        <v>211</v>
      </c>
      <c r="BK158" s="65">
        <f t="shared" si="38"/>
        <v>1050</v>
      </c>
      <c r="BL158" s="261">
        <f t="shared" si="36"/>
        <v>1</v>
      </c>
      <c r="BM158" s="12"/>
      <c r="BN158" s="12"/>
    </row>
    <row r="159" spans="2:67" ht="38.25" x14ac:dyDescent="0.2">
      <c r="B159" s="48"/>
      <c r="C159" s="410"/>
      <c r="D159" s="411"/>
      <c r="E159" s="412"/>
      <c r="F159" s="19"/>
      <c r="G159" s="82" t="s">
        <v>218</v>
      </c>
      <c r="H159" s="65" t="s">
        <v>25</v>
      </c>
      <c r="I159" s="66">
        <v>3000</v>
      </c>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v>3000</v>
      </c>
      <c r="AV159" s="8">
        <v>33</v>
      </c>
      <c r="AW159" s="8">
        <v>30</v>
      </c>
      <c r="AX159" s="8">
        <v>129</v>
      </c>
      <c r="AY159" s="8">
        <v>166</v>
      </c>
      <c r="AZ159" s="66">
        <f t="shared" si="39"/>
        <v>358</v>
      </c>
      <c r="BA159" s="8">
        <v>112</v>
      </c>
      <c r="BB159" s="8">
        <v>91</v>
      </c>
      <c r="BC159" s="8">
        <v>38</v>
      </c>
      <c r="BD159" s="8">
        <v>190</v>
      </c>
      <c r="BE159" s="6">
        <f t="shared" si="37"/>
        <v>431</v>
      </c>
      <c r="BF159" s="8">
        <v>390</v>
      </c>
      <c r="BG159" s="8">
        <v>299</v>
      </c>
      <c r="BH159" s="8"/>
      <c r="BI159" s="8"/>
      <c r="BJ159" s="6">
        <f t="shared" si="40"/>
        <v>689</v>
      </c>
      <c r="BK159" s="65">
        <f t="shared" si="38"/>
        <v>1478</v>
      </c>
      <c r="BL159" s="63">
        <f t="shared" si="36"/>
        <v>0.49266666666666664</v>
      </c>
      <c r="BM159" s="12"/>
      <c r="BN159" s="12"/>
    </row>
    <row r="160" spans="2:67" ht="45" customHeight="1" x14ac:dyDescent="0.2">
      <c r="B160" s="48"/>
      <c r="C160" s="410"/>
      <c r="D160" s="411"/>
      <c r="E160" s="412"/>
      <c r="F160" s="19"/>
      <c r="G160" s="16" t="s">
        <v>163</v>
      </c>
      <c r="H160" s="65" t="s">
        <v>28</v>
      </c>
      <c r="I160" s="8">
        <v>12</v>
      </c>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v>12</v>
      </c>
      <c r="AV160" s="111" t="s">
        <v>211</v>
      </c>
      <c r="AW160" s="8">
        <v>1</v>
      </c>
      <c r="AX160" s="8">
        <v>1</v>
      </c>
      <c r="AY160" s="8">
        <v>2</v>
      </c>
      <c r="AZ160" s="107">
        <f t="shared" si="39"/>
        <v>4</v>
      </c>
      <c r="BA160" s="8">
        <v>2</v>
      </c>
      <c r="BB160" s="8">
        <v>1</v>
      </c>
      <c r="BC160" s="8">
        <v>2</v>
      </c>
      <c r="BD160" s="8">
        <v>1</v>
      </c>
      <c r="BE160" s="6">
        <f t="shared" si="37"/>
        <v>6</v>
      </c>
      <c r="BF160" s="8">
        <v>1</v>
      </c>
      <c r="BG160" s="8">
        <v>1</v>
      </c>
      <c r="BH160" s="8"/>
      <c r="BI160" s="111"/>
      <c r="BJ160" s="6">
        <f t="shared" si="40"/>
        <v>2</v>
      </c>
      <c r="BK160" s="107">
        <f t="shared" si="38"/>
        <v>12</v>
      </c>
      <c r="BL160" s="299">
        <f t="shared" si="36"/>
        <v>1</v>
      </c>
      <c r="BM160" s="12"/>
      <c r="BN160" s="12"/>
    </row>
    <row r="161" spans="2:67" ht="56.25" customHeight="1" x14ac:dyDescent="0.2">
      <c r="B161" s="48"/>
      <c r="C161" s="410"/>
      <c r="D161" s="411"/>
      <c r="E161" s="412"/>
      <c r="F161" s="19"/>
      <c r="G161" s="16" t="s">
        <v>55</v>
      </c>
      <c r="H161" s="19" t="s">
        <v>27</v>
      </c>
      <c r="I161" s="20">
        <v>8</v>
      </c>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8">
        <v>8</v>
      </c>
      <c r="AV161" s="111" t="s">
        <v>211</v>
      </c>
      <c r="AW161" s="8">
        <v>1</v>
      </c>
      <c r="AX161" s="111" t="s">
        <v>211</v>
      </c>
      <c r="AY161" s="8">
        <v>1</v>
      </c>
      <c r="AZ161" s="107">
        <f t="shared" si="39"/>
        <v>2</v>
      </c>
      <c r="BA161" s="8">
        <v>1</v>
      </c>
      <c r="BB161" s="8">
        <v>1</v>
      </c>
      <c r="BC161" s="111" t="s">
        <v>211</v>
      </c>
      <c r="BD161" s="8">
        <v>1</v>
      </c>
      <c r="BE161" s="6">
        <f t="shared" si="37"/>
        <v>3</v>
      </c>
      <c r="BF161" s="8">
        <v>1</v>
      </c>
      <c r="BG161" s="111" t="s">
        <v>211</v>
      </c>
      <c r="BH161" s="111"/>
      <c r="BI161" s="111"/>
      <c r="BJ161" s="6">
        <f t="shared" si="40"/>
        <v>1</v>
      </c>
      <c r="BK161" s="107">
        <f t="shared" si="38"/>
        <v>6</v>
      </c>
      <c r="BL161" s="63">
        <f t="shared" si="36"/>
        <v>0.75</v>
      </c>
      <c r="BM161" s="12"/>
      <c r="BN161" s="12"/>
    </row>
    <row r="162" spans="2:67" ht="57" customHeight="1" x14ac:dyDescent="0.2">
      <c r="B162" s="48"/>
      <c r="C162" s="410"/>
      <c r="D162" s="411"/>
      <c r="E162" s="412"/>
      <c r="F162" s="19"/>
      <c r="G162" s="16" t="s">
        <v>56</v>
      </c>
      <c r="H162" s="8" t="s">
        <v>25</v>
      </c>
      <c r="I162" s="20">
        <v>60</v>
      </c>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8">
        <v>60</v>
      </c>
      <c r="AV162" s="8">
        <v>18</v>
      </c>
      <c r="AW162" s="111" t="s">
        <v>211</v>
      </c>
      <c r="AX162" s="8">
        <v>4</v>
      </c>
      <c r="AY162" s="8">
        <v>1</v>
      </c>
      <c r="AZ162" s="6">
        <f t="shared" si="39"/>
        <v>23</v>
      </c>
      <c r="BA162" s="111" t="s">
        <v>211</v>
      </c>
      <c r="BB162" s="8">
        <v>3</v>
      </c>
      <c r="BC162" s="111" t="s">
        <v>211</v>
      </c>
      <c r="BD162" s="8">
        <v>2</v>
      </c>
      <c r="BE162" s="111">
        <f t="shared" si="37"/>
        <v>5</v>
      </c>
      <c r="BF162" s="8">
        <v>2</v>
      </c>
      <c r="BG162" s="111" t="s">
        <v>211</v>
      </c>
      <c r="BH162" s="8"/>
      <c r="BI162" s="111"/>
      <c r="BJ162" s="6">
        <f t="shared" si="40"/>
        <v>2</v>
      </c>
      <c r="BK162" s="6">
        <f t="shared" si="38"/>
        <v>30</v>
      </c>
      <c r="BL162" s="63">
        <f t="shared" si="36"/>
        <v>0.5</v>
      </c>
      <c r="BM162" s="3"/>
      <c r="BN162" s="12"/>
    </row>
    <row r="163" spans="2:67" ht="57.75" customHeight="1" x14ac:dyDescent="0.2">
      <c r="B163" s="48"/>
      <c r="C163" s="157"/>
      <c r="D163" s="158"/>
      <c r="E163" s="159"/>
      <c r="F163" s="19"/>
      <c r="G163" s="16" t="s">
        <v>57</v>
      </c>
      <c r="H163" s="19" t="s">
        <v>27</v>
      </c>
      <c r="I163" s="20">
        <v>10</v>
      </c>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8">
        <v>10</v>
      </c>
      <c r="AV163" s="111" t="s">
        <v>211</v>
      </c>
      <c r="AW163" s="8">
        <v>2</v>
      </c>
      <c r="AX163" s="8">
        <v>1</v>
      </c>
      <c r="AY163" s="8">
        <v>2</v>
      </c>
      <c r="AZ163" s="107" t="s">
        <v>372</v>
      </c>
      <c r="BA163" s="8">
        <v>3</v>
      </c>
      <c r="BB163" s="8">
        <v>1</v>
      </c>
      <c r="BC163" s="8">
        <v>1</v>
      </c>
      <c r="BD163" s="111" t="s">
        <v>211</v>
      </c>
      <c r="BE163" s="111">
        <f t="shared" si="37"/>
        <v>5</v>
      </c>
      <c r="BF163" s="111" t="s">
        <v>211</v>
      </c>
      <c r="BG163" s="111" t="s">
        <v>211</v>
      </c>
      <c r="BH163" s="8"/>
      <c r="BI163" s="111"/>
      <c r="BJ163" s="109" t="s">
        <v>211</v>
      </c>
      <c r="BK163" s="107">
        <f t="shared" si="38"/>
        <v>10</v>
      </c>
      <c r="BL163" s="299">
        <f t="shared" si="36"/>
        <v>1</v>
      </c>
      <c r="BM163" s="3"/>
      <c r="BN163" s="12"/>
    </row>
    <row r="164" spans="2:67" ht="102.75" customHeight="1" x14ac:dyDescent="0.2">
      <c r="B164" s="48"/>
      <c r="C164" s="157"/>
      <c r="D164" s="158"/>
      <c r="E164" s="159"/>
      <c r="F164" s="19"/>
      <c r="G164" s="16" t="s">
        <v>219</v>
      </c>
      <c r="H164" s="19" t="s">
        <v>27</v>
      </c>
      <c r="I164" s="20">
        <v>50</v>
      </c>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8">
        <v>50</v>
      </c>
      <c r="AV164" s="111" t="s">
        <v>211</v>
      </c>
      <c r="AW164" s="111" t="s">
        <v>211</v>
      </c>
      <c r="AX164" s="8">
        <v>3</v>
      </c>
      <c r="AY164" s="111" t="s">
        <v>211</v>
      </c>
      <c r="AZ164" s="107" t="s">
        <v>364</v>
      </c>
      <c r="BA164" s="8">
        <v>1</v>
      </c>
      <c r="BB164" s="8">
        <v>13</v>
      </c>
      <c r="BC164" s="111" t="s">
        <v>211</v>
      </c>
      <c r="BD164" s="111" t="s">
        <v>211</v>
      </c>
      <c r="BE164" s="6">
        <f t="shared" si="37"/>
        <v>14</v>
      </c>
      <c r="BF164" s="8">
        <v>7</v>
      </c>
      <c r="BG164" s="8">
        <v>12</v>
      </c>
      <c r="BH164" s="8"/>
      <c r="BI164" s="111"/>
      <c r="BJ164" s="6">
        <f t="shared" si="40"/>
        <v>19</v>
      </c>
      <c r="BK164" s="107">
        <f t="shared" si="38"/>
        <v>36</v>
      </c>
      <c r="BL164" s="63">
        <f t="shared" si="36"/>
        <v>0.72</v>
      </c>
      <c r="BM164" s="3"/>
      <c r="BN164" s="12"/>
    </row>
    <row r="165" spans="2:67" s="181" customFormat="1" ht="18" customHeight="1" x14ac:dyDescent="0.2">
      <c r="B165" s="429" t="s">
        <v>115</v>
      </c>
      <c r="C165" s="430"/>
      <c r="D165" s="430"/>
      <c r="E165" s="430"/>
      <c r="F165" s="430"/>
      <c r="G165" s="430"/>
      <c r="H165" s="430"/>
      <c r="I165" s="430"/>
      <c r="J165" s="430"/>
      <c r="K165" s="430"/>
      <c r="L165" s="430"/>
      <c r="M165" s="430"/>
      <c r="N165" s="430"/>
      <c r="O165" s="430"/>
      <c r="P165" s="430"/>
      <c r="Q165" s="430"/>
      <c r="R165" s="430"/>
      <c r="S165" s="430"/>
      <c r="T165" s="430"/>
      <c r="U165" s="430"/>
      <c r="V165" s="430"/>
      <c r="W165" s="430"/>
      <c r="X165" s="430"/>
      <c r="Y165" s="430"/>
      <c r="Z165" s="430"/>
      <c r="AA165" s="430"/>
      <c r="AB165" s="430"/>
      <c r="AC165" s="430"/>
      <c r="AD165" s="430"/>
      <c r="AE165" s="430"/>
      <c r="AF165" s="430"/>
      <c r="AG165" s="430"/>
      <c r="AH165" s="430"/>
      <c r="AI165" s="430"/>
      <c r="AJ165" s="430"/>
      <c r="AK165" s="430"/>
      <c r="AL165" s="430"/>
      <c r="AM165" s="430"/>
      <c r="AN165" s="430"/>
      <c r="AO165" s="430"/>
      <c r="AP165" s="430"/>
      <c r="AQ165" s="430"/>
      <c r="AR165" s="430"/>
      <c r="AS165" s="430"/>
      <c r="AT165" s="430"/>
      <c r="AU165" s="430"/>
      <c r="AV165" s="430"/>
      <c r="AW165" s="430"/>
      <c r="AX165" s="430"/>
      <c r="AY165" s="430"/>
      <c r="AZ165" s="430"/>
      <c r="BA165" s="430"/>
      <c r="BB165" s="430"/>
      <c r="BC165" s="430"/>
      <c r="BD165" s="430"/>
      <c r="BE165" s="430"/>
      <c r="BF165" s="430"/>
      <c r="BG165" s="430"/>
      <c r="BH165" s="430"/>
      <c r="BI165" s="430"/>
      <c r="BJ165" s="430"/>
      <c r="BK165" s="430"/>
      <c r="BL165" s="430"/>
      <c r="BM165" s="430"/>
      <c r="BN165" s="217"/>
    </row>
    <row r="166" spans="2:67" s="181" customFormat="1" ht="27.75" customHeight="1" x14ac:dyDescent="0.2">
      <c r="B166" s="387" t="s">
        <v>102</v>
      </c>
      <c r="C166" s="387"/>
      <c r="D166" s="387"/>
      <c r="E166" s="387"/>
      <c r="F166" s="534" t="s">
        <v>116</v>
      </c>
      <c r="G166" s="535"/>
      <c r="H166" s="535"/>
      <c r="I166" s="535"/>
      <c r="J166" s="535"/>
      <c r="K166" s="535"/>
      <c r="L166" s="535"/>
      <c r="M166" s="535"/>
      <c r="N166" s="535"/>
      <c r="O166" s="535"/>
      <c r="P166" s="535"/>
      <c r="Q166" s="535"/>
      <c r="R166" s="535"/>
      <c r="S166" s="535"/>
      <c r="T166" s="535"/>
      <c r="U166" s="535"/>
      <c r="V166" s="535"/>
      <c r="W166" s="535"/>
      <c r="X166" s="535"/>
      <c r="Y166" s="535"/>
      <c r="Z166" s="535"/>
      <c r="AA166" s="535"/>
      <c r="AB166" s="535"/>
      <c r="AC166" s="535"/>
      <c r="AD166" s="535"/>
      <c r="AE166" s="535"/>
      <c r="AF166" s="535"/>
      <c r="AG166" s="535"/>
      <c r="AH166" s="535"/>
      <c r="AI166" s="535"/>
      <c r="AJ166" s="535"/>
      <c r="AK166" s="535"/>
      <c r="AL166" s="535"/>
      <c r="AM166" s="535"/>
      <c r="AN166" s="535"/>
      <c r="AO166" s="535"/>
      <c r="AP166" s="535"/>
      <c r="AQ166" s="535"/>
      <c r="AR166" s="535"/>
      <c r="AS166" s="535"/>
      <c r="AT166" s="535"/>
      <c r="AU166" s="535"/>
      <c r="AV166" s="535"/>
      <c r="AW166" s="535"/>
      <c r="AX166" s="535"/>
      <c r="AY166" s="535"/>
      <c r="AZ166" s="535"/>
      <c r="BA166" s="535"/>
      <c r="BB166" s="535"/>
      <c r="BC166" s="535"/>
      <c r="BD166" s="535"/>
      <c r="BE166" s="535"/>
      <c r="BF166" s="535"/>
      <c r="BG166" s="535"/>
      <c r="BH166" s="535"/>
      <c r="BI166" s="535"/>
      <c r="BJ166" s="535"/>
      <c r="BK166" s="535"/>
      <c r="BL166" s="535"/>
      <c r="BM166" s="535"/>
      <c r="BN166" s="536"/>
    </row>
    <row r="167" spans="2:67" s="181" customFormat="1" ht="17.25" customHeight="1" x14ac:dyDescent="0.2">
      <c r="B167" s="387" t="s">
        <v>103</v>
      </c>
      <c r="C167" s="387"/>
      <c r="D167" s="387"/>
      <c r="E167" s="387"/>
      <c r="F167" s="537" t="s">
        <v>117</v>
      </c>
      <c r="G167" s="537"/>
      <c r="H167" s="537"/>
      <c r="I167" s="537"/>
      <c r="J167" s="537"/>
      <c r="K167" s="537"/>
      <c r="L167" s="537"/>
      <c r="M167" s="537"/>
      <c r="N167" s="537"/>
      <c r="O167" s="537"/>
      <c r="P167" s="537"/>
      <c r="Q167" s="537"/>
      <c r="R167" s="537"/>
      <c r="S167" s="537"/>
      <c r="T167" s="537"/>
      <c r="U167" s="537"/>
      <c r="V167" s="537"/>
      <c r="W167" s="537"/>
      <c r="X167" s="537"/>
      <c r="Y167" s="537"/>
      <c r="Z167" s="537"/>
      <c r="AA167" s="537"/>
      <c r="AB167" s="537"/>
      <c r="AC167" s="537"/>
      <c r="AD167" s="537"/>
      <c r="AE167" s="537"/>
      <c r="AF167" s="537"/>
      <c r="AG167" s="537"/>
      <c r="AH167" s="537"/>
      <c r="AI167" s="537"/>
      <c r="AJ167" s="537"/>
      <c r="AK167" s="537"/>
      <c r="AL167" s="537"/>
      <c r="AM167" s="537"/>
      <c r="AN167" s="537"/>
      <c r="AO167" s="537"/>
      <c r="AP167" s="537"/>
      <c r="AQ167" s="537"/>
      <c r="AR167" s="537"/>
      <c r="AS167" s="537"/>
      <c r="AT167" s="537"/>
      <c r="AU167" s="537"/>
      <c r="AV167" s="537"/>
      <c r="AW167" s="537"/>
      <c r="AX167" s="537"/>
      <c r="AY167" s="537"/>
      <c r="AZ167" s="537"/>
      <c r="BA167" s="537"/>
      <c r="BB167" s="537"/>
      <c r="BC167" s="537"/>
      <c r="BD167" s="537"/>
      <c r="BE167" s="537"/>
      <c r="BF167" s="537"/>
      <c r="BG167" s="537"/>
      <c r="BH167" s="537"/>
      <c r="BI167" s="537"/>
      <c r="BJ167" s="537"/>
      <c r="BK167" s="537"/>
      <c r="BL167" s="537"/>
      <c r="BM167" s="537"/>
      <c r="BN167" s="214"/>
    </row>
    <row r="168" spans="2:67" ht="21" customHeight="1" x14ac:dyDescent="0.2">
      <c r="B168" s="88"/>
      <c r="C168" s="413" t="s">
        <v>235</v>
      </c>
      <c r="D168" s="414"/>
      <c r="E168" s="414"/>
      <c r="F168" s="414"/>
      <c r="G168" s="414"/>
      <c r="H168" s="414"/>
      <c r="I168" s="414"/>
      <c r="J168" s="414"/>
      <c r="K168" s="414"/>
      <c r="L168" s="414"/>
      <c r="M168" s="414"/>
      <c r="N168" s="414"/>
      <c r="O168" s="414"/>
      <c r="P168" s="414"/>
      <c r="Q168" s="414"/>
      <c r="R168" s="414"/>
      <c r="S168" s="414"/>
      <c r="T168" s="414"/>
      <c r="U168" s="414"/>
      <c r="V168" s="414"/>
      <c r="W168" s="414"/>
      <c r="X168" s="414"/>
      <c r="Y168" s="414"/>
      <c r="Z168" s="414"/>
      <c r="AA168" s="414"/>
      <c r="AB168" s="414"/>
      <c r="AC168" s="414"/>
      <c r="AD168" s="414"/>
      <c r="AE168" s="414"/>
      <c r="AF168" s="414"/>
      <c r="AG168" s="414"/>
      <c r="AH168" s="414"/>
      <c r="AI168" s="414"/>
      <c r="AJ168" s="414"/>
      <c r="AK168" s="414"/>
      <c r="AL168" s="414"/>
      <c r="AM168" s="414"/>
      <c r="AN168" s="414"/>
      <c r="AO168" s="414"/>
      <c r="AP168" s="414"/>
      <c r="AQ168" s="414"/>
      <c r="AR168" s="414"/>
      <c r="AS168" s="414"/>
      <c r="AT168" s="414"/>
      <c r="AU168" s="414"/>
      <c r="AV168" s="414"/>
      <c r="AW168" s="414"/>
      <c r="AX168" s="414"/>
      <c r="AY168" s="414"/>
      <c r="AZ168" s="414"/>
      <c r="BA168" s="414"/>
      <c r="BB168" s="414"/>
      <c r="BC168" s="414"/>
      <c r="BD168" s="414"/>
      <c r="BE168" s="414"/>
      <c r="BF168" s="414"/>
      <c r="BG168" s="414"/>
      <c r="BH168" s="414"/>
      <c r="BI168" s="414"/>
      <c r="BJ168" s="414"/>
      <c r="BK168" s="414"/>
      <c r="BL168" s="414"/>
      <c r="BM168" s="414"/>
      <c r="BN168" s="415"/>
    </row>
    <row r="169" spans="2:67" ht="53.25" customHeight="1" x14ac:dyDescent="0.2">
      <c r="B169" s="184" t="s">
        <v>139</v>
      </c>
      <c r="C169" s="401" t="s">
        <v>94</v>
      </c>
      <c r="D169" s="402"/>
      <c r="E169" s="403"/>
      <c r="F169" s="185" t="s">
        <v>95</v>
      </c>
      <c r="G169" s="186" t="s">
        <v>4</v>
      </c>
      <c r="H169" s="187" t="s">
        <v>3</v>
      </c>
      <c r="I169" s="188" t="s">
        <v>96</v>
      </c>
      <c r="J169" s="207" t="s">
        <v>494</v>
      </c>
      <c r="K169" s="207" t="s">
        <v>495</v>
      </c>
      <c r="L169" s="207" t="s">
        <v>380</v>
      </c>
      <c r="M169" s="208" t="s">
        <v>381</v>
      </c>
      <c r="N169" s="207" t="s">
        <v>517</v>
      </c>
      <c r="O169" s="207" t="s">
        <v>518</v>
      </c>
      <c r="P169" s="207" t="s">
        <v>490</v>
      </c>
      <c r="Q169" s="208" t="s">
        <v>491</v>
      </c>
      <c r="R169" s="208" t="s">
        <v>492</v>
      </c>
      <c r="S169" s="208" t="s">
        <v>493</v>
      </c>
      <c r="T169" s="208" t="s">
        <v>519</v>
      </c>
      <c r="U169" s="208" t="s">
        <v>523</v>
      </c>
      <c r="V169" s="208" t="s">
        <v>525</v>
      </c>
      <c r="W169" s="208" t="s">
        <v>571</v>
      </c>
      <c r="X169" s="208" t="s">
        <v>538</v>
      </c>
      <c r="Y169" s="208" t="s">
        <v>553</v>
      </c>
      <c r="Z169" s="208" t="s">
        <v>554</v>
      </c>
      <c r="AA169" s="307" t="s">
        <v>581</v>
      </c>
      <c r="AB169" s="208" t="s">
        <v>570</v>
      </c>
      <c r="AC169" s="307" t="s">
        <v>564</v>
      </c>
      <c r="AD169" s="307" t="s">
        <v>582</v>
      </c>
      <c r="AE169" s="309" t="s">
        <v>578</v>
      </c>
      <c r="AF169" s="307" t="s">
        <v>635</v>
      </c>
      <c r="AG169" s="307" t="s">
        <v>590</v>
      </c>
      <c r="AH169" s="307" t="s">
        <v>606</v>
      </c>
      <c r="AI169" s="307" t="s">
        <v>636</v>
      </c>
      <c r="AJ169" s="307" t="s">
        <v>623</v>
      </c>
      <c r="AK169" s="307" t="s">
        <v>628</v>
      </c>
      <c r="AL169" s="307" t="s">
        <v>637</v>
      </c>
      <c r="AM169" s="307" t="s">
        <v>641</v>
      </c>
      <c r="AN169" s="307" t="s">
        <v>643</v>
      </c>
      <c r="AO169" s="307" t="s">
        <v>646</v>
      </c>
      <c r="AP169" s="307" t="s">
        <v>650</v>
      </c>
      <c r="AQ169" s="307" t="s">
        <v>689</v>
      </c>
      <c r="AR169" s="307" t="s">
        <v>697</v>
      </c>
      <c r="AS169" s="307" t="s">
        <v>725</v>
      </c>
      <c r="AT169" s="307" t="s">
        <v>729</v>
      </c>
      <c r="AU169" s="188" t="s">
        <v>150</v>
      </c>
      <c r="AV169" s="1" t="s">
        <v>5</v>
      </c>
      <c r="AW169" s="1" t="s">
        <v>6</v>
      </c>
      <c r="AX169" s="1" t="s">
        <v>7</v>
      </c>
      <c r="AY169" s="1" t="s">
        <v>8</v>
      </c>
      <c r="AZ169" s="34" t="s">
        <v>157</v>
      </c>
      <c r="BA169" s="2" t="s">
        <v>9</v>
      </c>
      <c r="BB169" s="2" t="s">
        <v>10</v>
      </c>
      <c r="BC169" s="2" t="s">
        <v>11</v>
      </c>
      <c r="BD169" s="2" t="s">
        <v>12</v>
      </c>
      <c r="BE169" s="34" t="s">
        <v>158</v>
      </c>
      <c r="BF169" s="2" t="s">
        <v>13</v>
      </c>
      <c r="BG169" s="2" t="s">
        <v>14</v>
      </c>
      <c r="BH169" s="2" t="s">
        <v>15</v>
      </c>
      <c r="BI169" s="2" t="s">
        <v>16</v>
      </c>
      <c r="BJ169" s="34" t="s">
        <v>159</v>
      </c>
      <c r="BK169" s="189" t="s">
        <v>97</v>
      </c>
      <c r="BL169" s="189" t="s">
        <v>98</v>
      </c>
      <c r="BM169" s="190" t="s">
        <v>236</v>
      </c>
      <c r="BN169" s="189" t="s">
        <v>99</v>
      </c>
    </row>
    <row r="170" spans="2:67" ht="86.25" customHeight="1" x14ac:dyDescent="0.2">
      <c r="B170" s="30">
        <v>3</v>
      </c>
      <c r="C170" s="378" t="s">
        <v>280</v>
      </c>
      <c r="D170" s="379"/>
      <c r="E170" s="380"/>
      <c r="F170" s="200"/>
      <c r="G170" s="200"/>
      <c r="H170" s="5" t="s">
        <v>23</v>
      </c>
      <c r="I170" s="10">
        <v>2800</v>
      </c>
      <c r="J170" s="10"/>
      <c r="K170" s="10"/>
      <c r="L170" s="65" t="s">
        <v>371</v>
      </c>
      <c r="M170" s="65"/>
      <c r="N170" s="65"/>
      <c r="O170" s="65"/>
      <c r="P170" s="65" t="s">
        <v>487</v>
      </c>
      <c r="Q170" s="65"/>
      <c r="R170" s="65"/>
      <c r="S170" s="65"/>
      <c r="T170" s="65"/>
      <c r="U170" s="65"/>
      <c r="V170" s="65"/>
      <c r="W170" s="65"/>
      <c r="X170" s="65"/>
      <c r="Y170" s="65"/>
      <c r="Z170" s="65"/>
      <c r="AA170" s="65"/>
      <c r="AB170" s="65"/>
      <c r="AC170" s="65"/>
      <c r="AD170" s="65"/>
      <c r="AE170" s="65"/>
      <c r="AF170" s="65"/>
      <c r="AG170" s="65"/>
      <c r="AH170" s="65"/>
      <c r="AI170" s="65" t="s">
        <v>619</v>
      </c>
      <c r="AJ170" s="65"/>
      <c r="AK170" s="65"/>
      <c r="AL170" s="65"/>
      <c r="AM170" s="65"/>
      <c r="AN170" s="65"/>
      <c r="AO170" s="65"/>
      <c r="AP170" s="65"/>
      <c r="AQ170" s="65"/>
      <c r="AR170" s="65"/>
      <c r="AS170" s="65"/>
      <c r="AT170" s="65"/>
      <c r="AU170" s="10">
        <v>1867</v>
      </c>
      <c r="AV170" s="108" t="s">
        <v>211</v>
      </c>
      <c r="AW170" s="108" t="s">
        <v>211</v>
      </c>
      <c r="AX170" s="108" t="s">
        <v>211</v>
      </c>
      <c r="AY170" s="5" t="s">
        <v>211</v>
      </c>
      <c r="AZ170" s="108" t="s">
        <v>211</v>
      </c>
      <c r="BA170" s="108" t="s">
        <v>211</v>
      </c>
      <c r="BB170" s="108" t="s">
        <v>211</v>
      </c>
      <c r="BC170" s="108" t="s">
        <v>211</v>
      </c>
      <c r="BD170" s="108" t="s">
        <v>211</v>
      </c>
      <c r="BE170" s="7" t="s">
        <v>211</v>
      </c>
      <c r="BF170" s="7" t="s">
        <v>211</v>
      </c>
      <c r="BG170" s="7" t="s">
        <v>211</v>
      </c>
      <c r="BH170" s="8"/>
      <c r="BI170" s="111"/>
      <c r="BJ170" s="6" t="s">
        <v>211</v>
      </c>
      <c r="BK170" s="6" t="s">
        <v>211</v>
      </c>
      <c r="BL170" s="6" t="s">
        <v>211</v>
      </c>
      <c r="BM170" s="3">
        <v>4577973</v>
      </c>
      <c r="BN170" s="123" t="s">
        <v>665</v>
      </c>
      <c r="BO170" s="61">
        <f>SUM(BO171:BO173)</f>
        <v>0</v>
      </c>
    </row>
    <row r="171" spans="2:67" ht="87" customHeight="1" outlineLevel="1" x14ac:dyDescent="0.2">
      <c r="B171" s="48"/>
      <c r="C171" s="201"/>
      <c r="D171" s="201"/>
      <c r="E171" s="201"/>
      <c r="F171" s="64" t="s">
        <v>281</v>
      </c>
      <c r="G171" s="21"/>
      <c r="H171" s="5" t="s">
        <v>23</v>
      </c>
      <c r="I171" s="10">
        <v>2800</v>
      </c>
      <c r="J171" s="10"/>
      <c r="K171" s="10"/>
      <c r="L171" s="65" t="s">
        <v>371</v>
      </c>
      <c r="M171" s="65"/>
      <c r="N171" s="65"/>
      <c r="O171" s="65"/>
      <c r="P171" s="65" t="s">
        <v>487</v>
      </c>
      <c r="Q171" s="65"/>
      <c r="R171" s="65"/>
      <c r="S171" s="65"/>
      <c r="T171" s="65"/>
      <c r="U171" s="65"/>
      <c r="V171" s="65"/>
      <c r="W171" s="65"/>
      <c r="X171" s="65"/>
      <c r="Y171" s="65"/>
      <c r="Z171" s="65"/>
      <c r="AA171" s="65"/>
      <c r="AB171" s="65"/>
      <c r="AC171" s="65"/>
      <c r="AD171" s="65"/>
      <c r="AE171" s="65"/>
      <c r="AF171" s="65"/>
      <c r="AG171" s="65"/>
      <c r="AH171" s="65"/>
      <c r="AI171" s="65" t="s">
        <v>619</v>
      </c>
      <c r="AJ171" s="65"/>
      <c r="AK171" s="65"/>
      <c r="AL171" s="65"/>
      <c r="AM171" s="65"/>
      <c r="AN171" s="65"/>
      <c r="AO171" s="65"/>
      <c r="AP171" s="65"/>
      <c r="AQ171" s="65"/>
      <c r="AR171" s="65"/>
      <c r="AS171" s="65"/>
      <c r="AT171" s="65"/>
      <c r="AU171" s="10">
        <v>1867</v>
      </c>
      <c r="AV171" s="108" t="s">
        <v>211</v>
      </c>
      <c r="AW171" s="108" t="s">
        <v>211</v>
      </c>
      <c r="AX171" s="108" t="s">
        <v>211</v>
      </c>
      <c r="AY171" s="5" t="s">
        <v>211</v>
      </c>
      <c r="AZ171" s="108" t="s">
        <v>211</v>
      </c>
      <c r="BA171" s="108" t="s">
        <v>211</v>
      </c>
      <c r="BB171" s="108" t="s">
        <v>211</v>
      </c>
      <c r="BC171" s="108" t="s">
        <v>211</v>
      </c>
      <c r="BD171" s="108" t="s">
        <v>211</v>
      </c>
      <c r="BE171" s="7" t="s">
        <v>211</v>
      </c>
      <c r="BF171" s="7" t="s">
        <v>211</v>
      </c>
      <c r="BG171" s="7" t="s">
        <v>211</v>
      </c>
      <c r="BH171" s="8"/>
      <c r="BI171" s="111"/>
      <c r="BJ171" s="6" t="s">
        <v>211</v>
      </c>
      <c r="BK171" s="6" t="s">
        <v>211</v>
      </c>
      <c r="BL171" s="6" t="s">
        <v>211</v>
      </c>
      <c r="BM171" s="9"/>
      <c r="BN171" s="91"/>
    </row>
    <row r="172" spans="2:67" ht="111" customHeight="1" outlineLevel="1" x14ac:dyDescent="0.2">
      <c r="B172" s="48"/>
      <c r="C172" s="381"/>
      <c r="D172" s="381"/>
      <c r="E172" s="381"/>
      <c r="F172" s="64"/>
      <c r="G172" s="16" t="s">
        <v>282</v>
      </c>
      <c r="H172" s="65" t="s">
        <v>24</v>
      </c>
      <c r="I172" s="65">
        <v>2800</v>
      </c>
      <c r="J172" s="65"/>
      <c r="K172" s="65"/>
      <c r="L172" s="65" t="s">
        <v>371</v>
      </c>
      <c r="M172" s="65"/>
      <c r="N172" s="65"/>
      <c r="O172" s="65"/>
      <c r="P172" s="65" t="s">
        <v>487</v>
      </c>
      <c r="Q172" s="65"/>
      <c r="R172" s="65"/>
      <c r="S172" s="65"/>
      <c r="T172" s="65"/>
      <c r="U172" s="65"/>
      <c r="V172" s="65"/>
      <c r="W172" s="65"/>
      <c r="X172" s="65"/>
      <c r="Y172" s="65"/>
      <c r="Z172" s="65"/>
      <c r="AA172" s="65"/>
      <c r="AB172" s="65"/>
      <c r="AC172" s="65"/>
      <c r="AD172" s="65"/>
      <c r="AE172" s="65"/>
      <c r="AF172" s="65"/>
      <c r="AG172" s="65"/>
      <c r="AH172" s="65"/>
      <c r="AI172" s="65" t="s">
        <v>619</v>
      </c>
      <c r="AJ172" s="65"/>
      <c r="AK172" s="65"/>
      <c r="AL172" s="65"/>
      <c r="AM172" s="65"/>
      <c r="AN172" s="65"/>
      <c r="AO172" s="65"/>
      <c r="AP172" s="65"/>
      <c r="AQ172" s="65"/>
      <c r="AR172" s="65"/>
      <c r="AS172" s="65"/>
      <c r="AT172" s="65"/>
      <c r="AU172" s="65">
        <v>1867</v>
      </c>
      <c r="AV172" s="107" t="s">
        <v>211</v>
      </c>
      <c r="AW172" s="107" t="s">
        <v>211</v>
      </c>
      <c r="AX172" s="107" t="s">
        <v>211</v>
      </c>
      <c r="AY172" s="111" t="s">
        <v>211</v>
      </c>
      <c r="AZ172" s="107" t="s">
        <v>211</v>
      </c>
      <c r="BA172" s="107" t="s">
        <v>211</v>
      </c>
      <c r="BB172" s="107" t="s">
        <v>211</v>
      </c>
      <c r="BC172" s="107" t="s">
        <v>211</v>
      </c>
      <c r="BD172" s="107" t="s">
        <v>211</v>
      </c>
      <c r="BE172" s="6" t="s">
        <v>211</v>
      </c>
      <c r="BF172" s="6" t="s">
        <v>211</v>
      </c>
      <c r="BG172" s="6" t="s">
        <v>211</v>
      </c>
      <c r="BH172" s="8"/>
      <c r="BI172" s="111"/>
      <c r="BJ172" s="6" t="s">
        <v>211</v>
      </c>
      <c r="BK172" s="6" t="s">
        <v>211</v>
      </c>
      <c r="BL172" s="6" t="s">
        <v>211</v>
      </c>
      <c r="BM172" s="9"/>
      <c r="BN172" s="91"/>
    </row>
    <row r="173" spans="2:67" ht="127.5" customHeight="1" outlineLevel="1" x14ac:dyDescent="0.2">
      <c r="B173" s="48"/>
      <c r="C173" s="381"/>
      <c r="D173" s="381"/>
      <c r="E173" s="381"/>
      <c r="F173" s="8"/>
      <c r="G173" s="16" t="s">
        <v>283</v>
      </c>
      <c r="H173" s="65" t="s">
        <v>19</v>
      </c>
      <c r="I173" s="65">
        <v>4</v>
      </c>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v>4</v>
      </c>
      <c r="AV173" s="107" t="s">
        <v>211</v>
      </c>
      <c r="AW173" s="107" t="s">
        <v>211</v>
      </c>
      <c r="AX173" s="107" t="s">
        <v>211</v>
      </c>
      <c r="AY173" s="8"/>
      <c r="AZ173" s="107" t="s">
        <v>211</v>
      </c>
      <c r="BA173" s="107" t="s">
        <v>211</v>
      </c>
      <c r="BB173" s="107" t="s">
        <v>211</v>
      </c>
      <c r="BC173" s="107" t="s">
        <v>211</v>
      </c>
      <c r="BD173" s="107" t="s">
        <v>211</v>
      </c>
      <c r="BE173" s="6" t="s">
        <v>211</v>
      </c>
      <c r="BF173" s="6" t="s">
        <v>211</v>
      </c>
      <c r="BG173" s="6" t="s">
        <v>211</v>
      </c>
      <c r="BH173" s="8"/>
      <c r="BI173" s="111"/>
      <c r="BJ173" s="6" t="s">
        <v>211</v>
      </c>
      <c r="BK173" s="6" t="s">
        <v>211</v>
      </c>
      <c r="BL173" s="6" t="s">
        <v>211</v>
      </c>
      <c r="BM173" s="12"/>
      <c r="BN173" s="91"/>
    </row>
    <row r="174" spans="2:67" s="181" customFormat="1" ht="15" customHeight="1" x14ac:dyDescent="0.2">
      <c r="B174" s="429" t="s">
        <v>118</v>
      </c>
      <c r="C174" s="430"/>
      <c r="D174" s="430"/>
      <c r="E174" s="430"/>
      <c r="F174" s="430"/>
      <c r="G174" s="430"/>
      <c r="H174" s="430"/>
      <c r="I174" s="430"/>
      <c r="J174" s="430"/>
      <c r="K174" s="430"/>
      <c r="L174" s="430"/>
      <c r="M174" s="430"/>
      <c r="N174" s="430"/>
      <c r="O174" s="430"/>
      <c r="P174" s="430"/>
      <c r="Q174" s="430"/>
      <c r="R174" s="430"/>
      <c r="S174" s="430"/>
      <c r="T174" s="430"/>
      <c r="U174" s="430"/>
      <c r="V174" s="430"/>
      <c r="W174" s="430"/>
      <c r="X174" s="430"/>
      <c r="Y174" s="430"/>
      <c r="Z174" s="430"/>
      <c r="AA174" s="430"/>
      <c r="AB174" s="430"/>
      <c r="AC174" s="430"/>
      <c r="AD174" s="430"/>
      <c r="AE174" s="430"/>
      <c r="AF174" s="430"/>
      <c r="AG174" s="430"/>
      <c r="AH174" s="430"/>
      <c r="AI174" s="430"/>
      <c r="AJ174" s="430"/>
      <c r="AK174" s="430"/>
      <c r="AL174" s="430"/>
      <c r="AM174" s="430"/>
      <c r="AN174" s="430"/>
      <c r="AO174" s="430"/>
      <c r="AP174" s="430"/>
      <c r="AQ174" s="430"/>
      <c r="AR174" s="430"/>
      <c r="AS174" s="430"/>
      <c r="AT174" s="430"/>
      <c r="AU174" s="430"/>
      <c r="AV174" s="430"/>
      <c r="AW174" s="430"/>
      <c r="AX174" s="430"/>
      <c r="AY174" s="430"/>
      <c r="AZ174" s="430"/>
      <c r="BA174" s="430"/>
      <c r="BB174" s="430"/>
      <c r="BC174" s="430"/>
      <c r="BD174" s="430"/>
      <c r="BE174" s="430"/>
      <c r="BF174" s="430"/>
      <c r="BG174" s="430"/>
      <c r="BH174" s="430"/>
      <c r="BI174" s="430"/>
      <c r="BJ174" s="430"/>
      <c r="BK174" s="430"/>
      <c r="BL174" s="430"/>
      <c r="BM174" s="430"/>
      <c r="BN174" s="217"/>
    </row>
    <row r="175" spans="2:67" s="181" customFormat="1" ht="17.25" customHeight="1" x14ac:dyDescent="0.2">
      <c r="B175" s="397" t="s">
        <v>102</v>
      </c>
      <c r="C175" s="397"/>
      <c r="D175" s="397"/>
      <c r="E175" s="397"/>
      <c r="F175" s="428" t="s">
        <v>119</v>
      </c>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428"/>
      <c r="AJ175" s="428"/>
      <c r="AK175" s="428"/>
      <c r="AL175" s="428"/>
      <c r="AM175" s="428"/>
      <c r="AN175" s="428"/>
      <c r="AO175" s="428"/>
      <c r="AP175" s="428"/>
      <c r="AQ175" s="428"/>
      <c r="AR175" s="428"/>
      <c r="AS175" s="428"/>
      <c r="AT175" s="428"/>
      <c r="AU175" s="428"/>
      <c r="AV175" s="428"/>
      <c r="AW175" s="428"/>
      <c r="AX175" s="428"/>
      <c r="AY175" s="428"/>
      <c r="AZ175" s="428"/>
      <c r="BA175" s="428"/>
      <c r="BB175" s="428"/>
      <c r="BC175" s="428"/>
      <c r="BD175" s="428"/>
      <c r="BE175" s="428"/>
      <c r="BF175" s="428"/>
      <c r="BG175" s="428"/>
      <c r="BH175" s="428"/>
      <c r="BI175" s="428"/>
      <c r="BJ175" s="428"/>
      <c r="BK175" s="428"/>
      <c r="BL175" s="428"/>
      <c r="BM175" s="428"/>
      <c r="BN175" s="428"/>
    </row>
    <row r="176" spans="2:67" s="181" customFormat="1" ht="16.5" customHeight="1" x14ac:dyDescent="0.2">
      <c r="B176" s="387" t="s">
        <v>103</v>
      </c>
      <c r="C176" s="387"/>
      <c r="D176" s="387"/>
      <c r="E176" s="387"/>
      <c r="F176" s="537" t="s">
        <v>120</v>
      </c>
      <c r="G176" s="537"/>
      <c r="H176" s="537"/>
      <c r="I176" s="537"/>
      <c r="J176" s="537"/>
      <c r="K176" s="537"/>
      <c r="L176" s="537"/>
      <c r="M176" s="537"/>
      <c r="N176" s="537"/>
      <c r="O176" s="537"/>
      <c r="P176" s="537"/>
      <c r="Q176" s="537"/>
      <c r="R176" s="537"/>
      <c r="S176" s="537"/>
      <c r="T176" s="537"/>
      <c r="U176" s="537"/>
      <c r="V176" s="537"/>
      <c r="W176" s="537"/>
      <c r="X176" s="537"/>
      <c r="Y176" s="537"/>
      <c r="Z176" s="537"/>
      <c r="AA176" s="537"/>
      <c r="AB176" s="537"/>
      <c r="AC176" s="537"/>
      <c r="AD176" s="537"/>
      <c r="AE176" s="537"/>
      <c r="AF176" s="537"/>
      <c r="AG176" s="537"/>
      <c r="AH176" s="537"/>
      <c r="AI176" s="537"/>
      <c r="AJ176" s="537"/>
      <c r="AK176" s="537"/>
      <c r="AL176" s="537"/>
      <c r="AM176" s="537"/>
      <c r="AN176" s="537"/>
      <c r="AO176" s="537"/>
      <c r="AP176" s="537"/>
      <c r="AQ176" s="537"/>
      <c r="AR176" s="537"/>
      <c r="AS176" s="537"/>
      <c r="AT176" s="537"/>
      <c r="AU176" s="537"/>
      <c r="AV176" s="537"/>
      <c r="AW176" s="537"/>
      <c r="AX176" s="537"/>
      <c r="AY176" s="537"/>
      <c r="AZ176" s="537"/>
      <c r="BA176" s="537"/>
      <c r="BB176" s="537"/>
      <c r="BC176" s="537"/>
      <c r="BD176" s="537"/>
      <c r="BE176" s="537"/>
      <c r="BF176" s="537"/>
      <c r="BG176" s="537"/>
      <c r="BH176" s="537"/>
      <c r="BI176" s="537"/>
      <c r="BJ176" s="537"/>
      <c r="BK176" s="537"/>
      <c r="BL176" s="537"/>
      <c r="BM176" s="537"/>
      <c r="BN176" s="537"/>
    </row>
    <row r="177" spans="2:70" ht="18" customHeight="1" x14ac:dyDescent="0.2">
      <c r="B177" s="88"/>
      <c r="C177" s="413" t="s">
        <v>235</v>
      </c>
      <c r="D177" s="414"/>
      <c r="E177" s="414"/>
      <c r="F177" s="414"/>
      <c r="G177" s="414"/>
      <c r="H177" s="414"/>
      <c r="I177" s="414"/>
      <c r="J177" s="414"/>
      <c r="K177" s="414"/>
      <c r="L177" s="414"/>
      <c r="M177" s="414"/>
      <c r="N177" s="414"/>
      <c r="O177" s="414"/>
      <c r="P177" s="414"/>
      <c r="Q177" s="414"/>
      <c r="R177" s="414"/>
      <c r="S177" s="414"/>
      <c r="T177" s="414"/>
      <c r="U177" s="414"/>
      <c r="V177" s="414"/>
      <c r="W177" s="414"/>
      <c r="X177" s="414"/>
      <c r="Y177" s="414"/>
      <c r="Z177" s="414"/>
      <c r="AA177" s="414"/>
      <c r="AB177" s="414"/>
      <c r="AC177" s="414"/>
      <c r="AD177" s="414"/>
      <c r="AE177" s="414"/>
      <c r="AF177" s="414"/>
      <c r="AG177" s="414"/>
      <c r="AH177" s="414"/>
      <c r="AI177" s="414"/>
      <c r="AJ177" s="414"/>
      <c r="AK177" s="414"/>
      <c r="AL177" s="414"/>
      <c r="AM177" s="414"/>
      <c r="AN177" s="414"/>
      <c r="AO177" s="414"/>
      <c r="AP177" s="414"/>
      <c r="AQ177" s="414"/>
      <c r="AR177" s="414"/>
      <c r="AS177" s="414"/>
      <c r="AT177" s="414"/>
      <c r="AU177" s="414"/>
      <c r="AV177" s="414"/>
      <c r="AW177" s="414"/>
      <c r="AX177" s="414"/>
      <c r="AY177" s="414"/>
      <c r="AZ177" s="414"/>
      <c r="BA177" s="414"/>
      <c r="BB177" s="414"/>
      <c r="BC177" s="414"/>
      <c r="BD177" s="414"/>
      <c r="BE177" s="414"/>
      <c r="BF177" s="414"/>
      <c r="BG177" s="414"/>
      <c r="BH177" s="414"/>
      <c r="BI177" s="414"/>
      <c r="BJ177" s="414"/>
      <c r="BK177" s="414"/>
      <c r="BL177" s="414"/>
      <c r="BM177" s="414"/>
      <c r="BN177" s="415"/>
    </row>
    <row r="178" spans="2:70" ht="51" customHeight="1" x14ac:dyDescent="0.2">
      <c r="B178" s="184" t="s">
        <v>139</v>
      </c>
      <c r="C178" s="401" t="s">
        <v>94</v>
      </c>
      <c r="D178" s="402"/>
      <c r="E178" s="403"/>
      <c r="F178" s="185" t="s">
        <v>95</v>
      </c>
      <c r="G178" s="186" t="s">
        <v>4</v>
      </c>
      <c r="H178" s="187" t="s">
        <v>3</v>
      </c>
      <c r="I178" s="188" t="s">
        <v>96</v>
      </c>
      <c r="J178" s="207" t="s">
        <v>494</v>
      </c>
      <c r="K178" s="207" t="s">
        <v>495</v>
      </c>
      <c r="L178" s="207" t="s">
        <v>380</v>
      </c>
      <c r="M178" s="208" t="s">
        <v>381</v>
      </c>
      <c r="N178" s="207" t="s">
        <v>463</v>
      </c>
      <c r="O178" s="207" t="s">
        <v>518</v>
      </c>
      <c r="P178" s="207" t="s">
        <v>490</v>
      </c>
      <c r="Q178" s="208" t="s">
        <v>491</v>
      </c>
      <c r="R178" s="208" t="s">
        <v>492</v>
      </c>
      <c r="S178" s="208" t="s">
        <v>493</v>
      </c>
      <c r="T178" s="208" t="s">
        <v>519</v>
      </c>
      <c r="U178" s="208" t="s">
        <v>523</v>
      </c>
      <c r="V178" s="208" t="s">
        <v>525</v>
      </c>
      <c r="W178" s="208" t="s">
        <v>571</v>
      </c>
      <c r="X178" s="208" t="s">
        <v>538</v>
      </c>
      <c r="Y178" s="208" t="s">
        <v>553</v>
      </c>
      <c r="Z178" s="208" t="s">
        <v>554</v>
      </c>
      <c r="AA178" s="307" t="s">
        <v>581</v>
      </c>
      <c r="AB178" s="208" t="s">
        <v>570</v>
      </c>
      <c r="AC178" s="307" t="s">
        <v>564</v>
      </c>
      <c r="AD178" s="307" t="s">
        <v>582</v>
      </c>
      <c r="AE178" s="309" t="s">
        <v>578</v>
      </c>
      <c r="AF178" s="307" t="s">
        <v>635</v>
      </c>
      <c r="AG178" s="307" t="s">
        <v>590</v>
      </c>
      <c r="AH178" s="307" t="s">
        <v>606</v>
      </c>
      <c r="AI178" s="307" t="s">
        <v>636</v>
      </c>
      <c r="AJ178" s="307" t="s">
        <v>623</v>
      </c>
      <c r="AK178" s="307" t="s">
        <v>628</v>
      </c>
      <c r="AL178" s="307" t="s">
        <v>637</v>
      </c>
      <c r="AM178" s="307" t="s">
        <v>641</v>
      </c>
      <c r="AN178" s="307" t="s">
        <v>643</v>
      </c>
      <c r="AO178" s="307" t="s">
        <v>646</v>
      </c>
      <c r="AP178" s="307" t="s">
        <v>650</v>
      </c>
      <c r="AQ178" s="307" t="s">
        <v>689</v>
      </c>
      <c r="AR178" s="307" t="s">
        <v>697</v>
      </c>
      <c r="AS178" s="307" t="s">
        <v>725</v>
      </c>
      <c r="AT178" s="307" t="s">
        <v>729</v>
      </c>
      <c r="AU178" s="188" t="s">
        <v>150</v>
      </c>
      <c r="AV178" s="1" t="s">
        <v>5</v>
      </c>
      <c r="AW178" s="1" t="s">
        <v>6</v>
      </c>
      <c r="AX178" s="1" t="s">
        <v>7</v>
      </c>
      <c r="AY178" s="1" t="s">
        <v>8</v>
      </c>
      <c r="AZ178" s="34" t="s">
        <v>157</v>
      </c>
      <c r="BA178" s="2" t="s">
        <v>9</v>
      </c>
      <c r="BB178" s="2" t="s">
        <v>10</v>
      </c>
      <c r="BC178" s="2" t="s">
        <v>11</v>
      </c>
      <c r="BD178" s="2" t="s">
        <v>12</v>
      </c>
      <c r="BE178" s="34" t="s">
        <v>158</v>
      </c>
      <c r="BF178" s="2" t="s">
        <v>13</v>
      </c>
      <c r="BG178" s="2" t="s">
        <v>14</v>
      </c>
      <c r="BH178" s="2" t="s">
        <v>15</v>
      </c>
      <c r="BI178" s="2" t="s">
        <v>16</v>
      </c>
      <c r="BJ178" s="34" t="s">
        <v>159</v>
      </c>
      <c r="BK178" s="189" t="s">
        <v>97</v>
      </c>
      <c r="BL178" s="189" t="s">
        <v>98</v>
      </c>
      <c r="BM178" s="190" t="s">
        <v>256</v>
      </c>
      <c r="BN178" s="189" t="s">
        <v>99</v>
      </c>
    </row>
    <row r="179" spans="2:70" ht="65.25" customHeight="1" x14ac:dyDescent="0.2">
      <c r="B179" s="326">
        <v>4</v>
      </c>
      <c r="C179" s="378" t="s">
        <v>285</v>
      </c>
      <c r="D179" s="379"/>
      <c r="E179" s="380"/>
      <c r="F179" s="48"/>
      <c r="G179" s="200"/>
      <c r="H179" s="350" t="s">
        <v>51</v>
      </c>
      <c r="I179" s="350">
        <v>441</v>
      </c>
      <c r="J179" s="350"/>
      <c r="K179" s="350"/>
      <c r="L179" s="350"/>
      <c r="M179" s="350" t="s">
        <v>418</v>
      </c>
      <c r="N179" s="350"/>
      <c r="O179" s="350"/>
      <c r="P179" s="350" t="s">
        <v>488</v>
      </c>
      <c r="Q179" s="350"/>
      <c r="R179" s="350"/>
      <c r="S179" s="350"/>
      <c r="T179" s="350"/>
      <c r="U179" s="350"/>
      <c r="V179" s="350"/>
      <c r="W179" s="350"/>
      <c r="X179" s="350"/>
      <c r="Y179" s="350"/>
      <c r="Z179" s="350"/>
      <c r="AA179" s="30"/>
      <c r="AB179" s="111" t="s">
        <v>556</v>
      </c>
      <c r="AC179" s="111"/>
      <c r="AD179" s="111"/>
      <c r="AE179" s="111"/>
      <c r="AF179" s="111"/>
      <c r="AG179" s="111"/>
      <c r="AH179" s="111"/>
      <c r="AI179" s="111"/>
      <c r="AJ179" s="111"/>
      <c r="AK179" s="111"/>
      <c r="AL179" s="111"/>
      <c r="AM179" s="111"/>
      <c r="AN179" s="111"/>
      <c r="AO179" s="111"/>
      <c r="AP179" s="111"/>
      <c r="AQ179" s="111"/>
      <c r="AR179" s="111" t="s">
        <v>695</v>
      </c>
      <c r="AS179" s="111"/>
      <c r="AT179" s="111"/>
      <c r="AU179" s="354">
        <v>650</v>
      </c>
      <c r="AV179" s="122">
        <f>+AV180+AV188+AV192</f>
        <v>26</v>
      </c>
      <c r="AW179" s="122">
        <f>+AW180+AW188+AW192</f>
        <v>18</v>
      </c>
      <c r="AX179" s="122">
        <f>+AX180+AX188+AX192</f>
        <v>34</v>
      </c>
      <c r="AY179" s="122">
        <f>+AY180+AY188+AY192</f>
        <v>34</v>
      </c>
      <c r="AZ179" s="7">
        <f>SUM(AZ180+AZ188+AZ192)</f>
        <v>112</v>
      </c>
      <c r="BA179" s="122">
        <f>+BA180+BA188+BA192</f>
        <v>57</v>
      </c>
      <c r="BB179" s="122">
        <f>+BB180+BB188+BB192</f>
        <v>31</v>
      </c>
      <c r="BC179" s="350">
        <f>+BC180+BC188+BC192</f>
        <v>25</v>
      </c>
      <c r="BD179" s="122">
        <f>+BD180+BD188+BD192+BD194</f>
        <v>22</v>
      </c>
      <c r="BE179" s="7">
        <f>SUM(BA179:BD179)</f>
        <v>135</v>
      </c>
      <c r="BF179" s="350">
        <v>29</v>
      </c>
      <c r="BG179" s="122" t="s">
        <v>565</v>
      </c>
      <c r="BH179" s="122"/>
      <c r="BI179" s="350"/>
      <c r="BJ179" s="108" t="s">
        <v>701</v>
      </c>
      <c r="BK179" s="7">
        <f>SUM(AZ179+BE179+BJ179)</f>
        <v>341</v>
      </c>
      <c r="BL179" s="41">
        <f t="shared" ref="BL179:BL187" si="41">SUM(BK179/AU179)</f>
        <v>0.52461538461538459</v>
      </c>
      <c r="BM179" s="3">
        <v>8157762</v>
      </c>
      <c r="BN179" s="258" t="s">
        <v>666</v>
      </c>
      <c r="BO179" s="61">
        <f>SUM(BO180:BO182)</f>
        <v>0</v>
      </c>
    </row>
    <row r="180" spans="2:70" ht="81" customHeight="1" x14ac:dyDescent="0.2">
      <c r="B180" s="327"/>
      <c r="C180" s="381"/>
      <c r="D180" s="381"/>
      <c r="E180" s="381"/>
      <c r="F180" s="64" t="s">
        <v>287</v>
      </c>
      <c r="G180" s="50"/>
      <c r="H180" s="350" t="s">
        <v>51</v>
      </c>
      <c r="I180" s="350">
        <v>75</v>
      </c>
      <c r="J180" s="350"/>
      <c r="K180" s="350"/>
      <c r="L180" s="350"/>
      <c r="M180" s="350" t="s">
        <v>416</v>
      </c>
      <c r="N180" s="350"/>
      <c r="O180" s="350"/>
      <c r="P180" s="350" t="s">
        <v>488</v>
      </c>
      <c r="Q180" s="350"/>
      <c r="R180" s="350"/>
      <c r="S180" s="350"/>
      <c r="T180" s="350"/>
      <c r="U180" s="350"/>
      <c r="V180" s="350"/>
      <c r="W180" s="350"/>
      <c r="X180" s="350"/>
      <c r="Y180" s="350"/>
      <c r="Z180" s="350"/>
      <c r="AA180" s="350"/>
      <c r="AB180" s="350"/>
      <c r="AC180" s="350"/>
      <c r="AD180" s="350"/>
      <c r="AE180" s="350"/>
      <c r="AF180" s="350"/>
      <c r="AG180" s="350"/>
      <c r="AH180" s="350"/>
      <c r="AI180" s="350"/>
      <c r="AJ180" s="350"/>
      <c r="AK180" s="350"/>
      <c r="AL180" s="352"/>
      <c r="AM180" s="362"/>
      <c r="AN180" s="365"/>
      <c r="AO180" s="365"/>
      <c r="AP180" s="365"/>
      <c r="AQ180" s="365"/>
      <c r="AR180" s="365"/>
      <c r="AS180" s="366"/>
      <c r="AT180" s="366"/>
      <c r="AU180" s="264">
        <v>145</v>
      </c>
      <c r="AV180" s="355" t="s">
        <v>211</v>
      </c>
      <c r="AW180" s="112" t="s">
        <v>211</v>
      </c>
      <c r="AX180" s="5">
        <v>8</v>
      </c>
      <c r="AY180" s="5">
        <v>2</v>
      </c>
      <c r="AZ180" s="7">
        <v>10</v>
      </c>
      <c r="BA180" s="112" t="s">
        <v>211</v>
      </c>
      <c r="BB180" s="5">
        <v>2</v>
      </c>
      <c r="BC180" s="7">
        <v>2</v>
      </c>
      <c r="BD180" s="5">
        <v>2</v>
      </c>
      <c r="BE180" s="7">
        <f>SUM(BA180:BD180)</f>
        <v>6</v>
      </c>
      <c r="BF180" s="5">
        <v>4</v>
      </c>
      <c r="BG180" s="7">
        <v>3</v>
      </c>
      <c r="BH180" s="7"/>
      <c r="BI180" s="7"/>
      <c r="BJ180" s="7">
        <f>SUM(BF180:BI180)</f>
        <v>7</v>
      </c>
      <c r="BK180" s="7">
        <f>SUM(AZ180+BE180+BJ180)</f>
        <v>23</v>
      </c>
      <c r="BL180" s="41">
        <f t="shared" si="41"/>
        <v>0.15862068965517243</v>
      </c>
      <c r="BM180" s="9"/>
      <c r="BN180" s="356" t="s">
        <v>708</v>
      </c>
    </row>
    <row r="181" spans="2:70" ht="82.5" customHeight="1" x14ac:dyDescent="0.2">
      <c r="B181" s="327"/>
      <c r="C181" s="381"/>
      <c r="D181" s="381"/>
      <c r="E181" s="381"/>
      <c r="F181" s="360"/>
      <c r="G181" s="64" t="s">
        <v>58</v>
      </c>
      <c r="H181" s="19" t="s">
        <v>25</v>
      </c>
      <c r="I181" s="65">
        <v>295</v>
      </c>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357">
        <v>295</v>
      </c>
      <c r="AV181" s="8">
        <v>17</v>
      </c>
      <c r="AW181" s="8">
        <v>29</v>
      </c>
      <c r="AX181" s="8">
        <v>23</v>
      </c>
      <c r="AY181" s="8">
        <v>26</v>
      </c>
      <c r="AZ181" s="6">
        <f>SUM(AV181:AY181)</f>
        <v>95</v>
      </c>
      <c r="BA181" s="8">
        <v>53</v>
      </c>
      <c r="BB181" s="8">
        <v>37</v>
      </c>
      <c r="BC181" s="8">
        <v>47</v>
      </c>
      <c r="BD181" s="8">
        <v>29</v>
      </c>
      <c r="BE181" s="6">
        <f t="shared" ref="BE181:BE187" si="42">SUM(BA181+BB181+BC181+BD181)</f>
        <v>166</v>
      </c>
      <c r="BF181" s="19">
        <v>32</v>
      </c>
      <c r="BG181" s="19">
        <v>36</v>
      </c>
      <c r="BH181" s="19"/>
      <c r="BI181" s="111"/>
      <c r="BJ181" s="6">
        <f t="shared" ref="BJ181:BJ194" si="43">SUM(BF181:BI181)</f>
        <v>68</v>
      </c>
      <c r="BK181" s="107" t="s">
        <v>707</v>
      </c>
      <c r="BL181" s="284">
        <f t="shared" si="41"/>
        <v>1</v>
      </c>
      <c r="BM181" s="111"/>
      <c r="BN181" s="8"/>
      <c r="BQ181" s="564"/>
      <c r="BR181" s="564"/>
    </row>
    <row r="182" spans="2:70" ht="33.75" customHeight="1" x14ac:dyDescent="0.2">
      <c r="B182" s="327"/>
      <c r="C182" s="381"/>
      <c r="D182" s="381"/>
      <c r="E182" s="381"/>
      <c r="F182" s="360"/>
      <c r="G182" s="64" t="s">
        <v>59</v>
      </c>
      <c r="H182" s="19" t="s">
        <v>25</v>
      </c>
      <c r="I182" s="65">
        <v>340</v>
      </c>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19">
        <v>340</v>
      </c>
      <c r="AV182" s="8">
        <v>48</v>
      </c>
      <c r="AW182" s="8">
        <v>36</v>
      </c>
      <c r="AX182" s="8">
        <v>52</v>
      </c>
      <c r="AY182" s="8">
        <v>26</v>
      </c>
      <c r="AZ182" s="6">
        <f>SUM(AV182:AY182)</f>
        <v>162</v>
      </c>
      <c r="BA182" s="8">
        <v>64</v>
      </c>
      <c r="BB182" s="8">
        <v>31</v>
      </c>
      <c r="BC182" s="8">
        <v>68</v>
      </c>
      <c r="BD182" s="8">
        <v>49</v>
      </c>
      <c r="BE182" s="6">
        <f t="shared" si="42"/>
        <v>212</v>
      </c>
      <c r="BF182" s="8">
        <v>47</v>
      </c>
      <c r="BG182" s="8">
        <v>41</v>
      </c>
      <c r="BH182" s="8"/>
      <c r="BI182" s="8"/>
      <c r="BJ182" s="6">
        <f t="shared" si="43"/>
        <v>88</v>
      </c>
      <c r="BK182" s="6">
        <v>340</v>
      </c>
      <c r="BL182" s="261">
        <f t="shared" si="41"/>
        <v>1</v>
      </c>
      <c r="BM182" s="8"/>
      <c r="BN182" s="8"/>
      <c r="BQ182" s="564"/>
      <c r="BR182" s="564"/>
    </row>
    <row r="183" spans="2:70" ht="31.5" customHeight="1" x14ac:dyDescent="0.2">
      <c r="B183" s="327"/>
      <c r="C183" s="381"/>
      <c r="D183" s="381"/>
      <c r="E183" s="381"/>
      <c r="F183" s="360"/>
      <c r="G183" s="64" t="s">
        <v>60</v>
      </c>
      <c r="H183" s="19" t="s">
        <v>25</v>
      </c>
      <c r="I183" s="65">
        <v>50</v>
      </c>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19">
        <v>50</v>
      </c>
      <c r="AV183" s="8">
        <v>5</v>
      </c>
      <c r="AW183" s="8">
        <v>6</v>
      </c>
      <c r="AX183" s="8">
        <v>10</v>
      </c>
      <c r="AY183" s="8">
        <v>1</v>
      </c>
      <c r="AZ183" s="6">
        <f>SUM(AV183:AY183)</f>
        <v>22</v>
      </c>
      <c r="BA183" s="8">
        <v>8</v>
      </c>
      <c r="BB183" s="8">
        <v>8</v>
      </c>
      <c r="BC183" s="8">
        <v>7</v>
      </c>
      <c r="BD183" s="8">
        <v>3</v>
      </c>
      <c r="BE183" s="6">
        <f t="shared" si="42"/>
        <v>26</v>
      </c>
      <c r="BF183" s="6">
        <v>5</v>
      </c>
      <c r="BG183" s="8">
        <v>8</v>
      </c>
      <c r="BH183" s="8"/>
      <c r="BI183" s="111"/>
      <c r="BJ183" s="6">
        <f t="shared" si="43"/>
        <v>13</v>
      </c>
      <c r="BK183" s="6">
        <v>50</v>
      </c>
      <c r="BL183" s="299">
        <f t="shared" si="41"/>
        <v>1</v>
      </c>
      <c r="BM183" s="8"/>
      <c r="BN183" s="8"/>
      <c r="BQ183" s="564"/>
      <c r="BR183" s="564"/>
    </row>
    <row r="184" spans="2:70" ht="36.75" customHeight="1" x14ac:dyDescent="0.2">
      <c r="B184" s="327"/>
      <c r="C184" s="381"/>
      <c r="D184" s="381"/>
      <c r="E184" s="381"/>
      <c r="F184" s="360"/>
      <c r="G184" s="64" t="s">
        <v>61</v>
      </c>
      <c r="H184" s="19" t="s">
        <v>25</v>
      </c>
      <c r="I184" s="65">
        <v>10</v>
      </c>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19">
        <v>10</v>
      </c>
      <c r="AV184" s="8">
        <v>1</v>
      </c>
      <c r="AW184" s="111" t="s">
        <v>211</v>
      </c>
      <c r="AX184" s="111" t="s">
        <v>211</v>
      </c>
      <c r="AY184" s="111" t="s">
        <v>211</v>
      </c>
      <c r="AZ184" s="6">
        <f>SUM(AV184:AY184)</f>
        <v>1</v>
      </c>
      <c r="BA184" s="111" t="s">
        <v>211</v>
      </c>
      <c r="BB184" s="111" t="s">
        <v>211</v>
      </c>
      <c r="BC184" s="8">
        <v>1</v>
      </c>
      <c r="BD184" s="111" t="s">
        <v>211</v>
      </c>
      <c r="BE184" s="6">
        <f t="shared" si="42"/>
        <v>1</v>
      </c>
      <c r="BF184" s="111" t="s">
        <v>211</v>
      </c>
      <c r="BG184" s="8">
        <v>3</v>
      </c>
      <c r="BH184" s="111"/>
      <c r="BI184" s="111"/>
      <c r="BJ184" s="6">
        <f t="shared" si="43"/>
        <v>3</v>
      </c>
      <c r="BK184" s="6">
        <f t="shared" ref="BK184:BK190" si="44">+BJ184+BE184+AZ184</f>
        <v>5</v>
      </c>
      <c r="BL184" s="68">
        <f t="shared" si="41"/>
        <v>0.5</v>
      </c>
      <c r="BM184" s="8"/>
      <c r="BN184" s="8"/>
    </row>
    <row r="185" spans="2:70" ht="42" customHeight="1" x14ac:dyDescent="0.2">
      <c r="B185" s="327"/>
      <c r="C185" s="381"/>
      <c r="D185" s="381"/>
      <c r="E185" s="381"/>
      <c r="F185" s="360"/>
      <c r="G185" s="64" t="s">
        <v>197</v>
      </c>
      <c r="H185" s="19" t="s">
        <v>25</v>
      </c>
      <c r="I185" s="65">
        <v>300</v>
      </c>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19">
        <v>300</v>
      </c>
      <c r="AV185" s="8">
        <v>20</v>
      </c>
      <c r="AW185" s="8">
        <v>26</v>
      </c>
      <c r="AX185" s="8">
        <v>30</v>
      </c>
      <c r="AY185" s="8">
        <v>41</v>
      </c>
      <c r="AZ185" s="6">
        <f>SUM(AV185:AY185)</f>
        <v>117</v>
      </c>
      <c r="BA185" s="8">
        <v>47</v>
      </c>
      <c r="BB185" s="8">
        <v>41</v>
      </c>
      <c r="BC185" s="8">
        <v>57</v>
      </c>
      <c r="BD185" s="8">
        <v>34</v>
      </c>
      <c r="BE185" s="6">
        <f t="shared" si="42"/>
        <v>179</v>
      </c>
      <c r="BF185" s="8">
        <v>27</v>
      </c>
      <c r="BG185" s="8">
        <v>31</v>
      </c>
      <c r="BH185" s="8"/>
      <c r="BI185" s="8"/>
      <c r="BJ185" s="6">
        <f t="shared" si="43"/>
        <v>58</v>
      </c>
      <c r="BK185" s="6">
        <v>300</v>
      </c>
      <c r="BL185" s="284">
        <f t="shared" si="41"/>
        <v>1</v>
      </c>
      <c r="BM185" s="8"/>
      <c r="BN185" s="8"/>
    </row>
    <row r="186" spans="2:70" ht="46.5" customHeight="1" x14ac:dyDescent="0.2">
      <c r="B186" s="327"/>
      <c r="C186" s="410"/>
      <c r="D186" s="411"/>
      <c r="E186" s="412"/>
      <c r="F186" s="360"/>
      <c r="G186" s="64" t="s">
        <v>62</v>
      </c>
      <c r="H186" s="19" t="s">
        <v>25</v>
      </c>
      <c r="I186" s="65">
        <v>175</v>
      </c>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19">
        <v>175</v>
      </c>
      <c r="AV186" s="111" t="s">
        <v>211</v>
      </c>
      <c r="AW186" s="111" t="s">
        <v>211</v>
      </c>
      <c r="AX186" s="8">
        <v>4</v>
      </c>
      <c r="AY186" s="8">
        <v>4</v>
      </c>
      <c r="AZ186" s="107" t="s">
        <v>510</v>
      </c>
      <c r="BA186" s="8">
        <v>1</v>
      </c>
      <c r="BB186" s="111" t="s">
        <v>211</v>
      </c>
      <c r="BC186" s="8" t="s">
        <v>211</v>
      </c>
      <c r="BD186" s="111" t="s">
        <v>211</v>
      </c>
      <c r="BE186" s="6">
        <f t="shared" si="42"/>
        <v>1</v>
      </c>
      <c r="BF186" s="8">
        <v>1</v>
      </c>
      <c r="BG186" s="8">
        <v>7</v>
      </c>
      <c r="BH186" s="8"/>
      <c r="BI186" s="8"/>
      <c r="BJ186" s="6">
        <f t="shared" si="43"/>
        <v>8</v>
      </c>
      <c r="BK186" s="107">
        <f t="shared" si="44"/>
        <v>17</v>
      </c>
      <c r="BL186" s="68">
        <f t="shared" si="41"/>
        <v>9.7142857142857142E-2</v>
      </c>
      <c r="BM186" s="8"/>
      <c r="BN186" s="8"/>
    </row>
    <row r="187" spans="2:70" ht="33.75" customHeight="1" x14ac:dyDescent="0.2">
      <c r="B187" s="327"/>
      <c r="C187" s="381"/>
      <c r="D187" s="381"/>
      <c r="E187" s="381"/>
      <c r="F187" s="360"/>
      <c r="G187" s="64" t="s">
        <v>63</v>
      </c>
      <c r="H187" s="19" t="s">
        <v>25</v>
      </c>
      <c r="I187" s="65">
        <v>100</v>
      </c>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19">
        <v>100</v>
      </c>
      <c r="AV187" s="111" t="s">
        <v>211</v>
      </c>
      <c r="AW187" s="111" t="s">
        <v>211</v>
      </c>
      <c r="AX187" s="111" t="s">
        <v>211</v>
      </c>
      <c r="AY187" s="111" t="s">
        <v>211</v>
      </c>
      <c r="AZ187" s="107" t="s">
        <v>211</v>
      </c>
      <c r="BA187" s="8">
        <v>1</v>
      </c>
      <c r="BB187" s="111" t="s">
        <v>211</v>
      </c>
      <c r="BC187" s="8" t="s">
        <v>211</v>
      </c>
      <c r="BD187" s="8">
        <v>3</v>
      </c>
      <c r="BE187" s="6">
        <f t="shared" si="42"/>
        <v>4</v>
      </c>
      <c r="BF187" s="111" t="s">
        <v>362</v>
      </c>
      <c r="BG187" s="111" t="s">
        <v>211</v>
      </c>
      <c r="BH187" s="8"/>
      <c r="BI187" s="8"/>
      <c r="BJ187" s="6">
        <v>1</v>
      </c>
      <c r="BK187" s="107">
        <f t="shared" si="44"/>
        <v>5</v>
      </c>
      <c r="BL187" s="68">
        <f t="shared" si="41"/>
        <v>0.05</v>
      </c>
      <c r="BM187" s="8"/>
      <c r="BN187" s="8"/>
    </row>
    <row r="188" spans="2:70" ht="78" customHeight="1" x14ac:dyDescent="0.2">
      <c r="B188" s="327"/>
      <c r="C188" s="381"/>
      <c r="D188" s="381"/>
      <c r="E188" s="381"/>
      <c r="F188" s="64" t="s">
        <v>288</v>
      </c>
      <c r="G188" s="50"/>
      <c r="H188" s="350" t="s">
        <v>51</v>
      </c>
      <c r="I188" s="7">
        <v>6</v>
      </c>
      <c r="J188" s="7"/>
      <c r="K188" s="7"/>
      <c r="L188" s="7"/>
      <c r="M188" s="350" t="s">
        <v>417</v>
      </c>
      <c r="N188" s="350"/>
      <c r="O188" s="350"/>
      <c r="P188" s="350"/>
      <c r="Q188" s="350"/>
      <c r="R188" s="350"/>
      <c r="S188" s="350"/>
      <c r="T188" s="350"/>
      <c r="U188" s="350"/>
      <c r="V188" s="350"/>
      <c r="W188" s="350"/>
      <c r="X188" s="350"/>
      <c r="Y188" s="350"/>
      <c r="Z188" s="350"/>
      <c r="AA188" s="350"/>
      <c r="AB188" s="350"/>
      <c r="AC188" s="350"/>
      <c r="AD188" s="350"/>
      <c r="AE188" s="350"/>
      <c r="AF188" s="350"/>
      <c r="AG188" s="350"/>
      <c r="AH188" s="350"/>
      <c r="AI188" s="350"/>
      <c r="AJ188" s="350"/>
      <c r="AK188" s="350"/>
      <c r="AL188" s="352"/>
      <c r="AM188" s="362"/>
      <c r="AN188" s="365"/>
      <c r="AO188" s="365"/>
      <c r="AP188" s="365"/>
      <c r="AQ188" s="365"/>
      <c r="AR188" s="365"/>
      <c r="AS188" s="366"/>
      <c r="AT188" s="366"/>
      <c r="AU188" s="350">
        <v>8</v>
      </c>
      <c r="AV188" s="112" t="s">
        <v>211</v>
      </c>
      <c r="AW188" s="112" t="s">
        <v>211</v>
      </c>
      <c r="AX188" s="112" t="s">
        <v>211</v>
      </c>
      <c r="AY188" s="112" t="s">
        <v>211</v>
      </c>
      <c r="AZ188" s="108" t="s">
        <v>211</v>
      </c>
      <c r="BA188" s="112" t="s">
        <v>211</v>
      </c>
      <c r="BB188" s="112" t="s">
        <v>211</v>
      </c>
      <c r="BC188" s="112" t="s">
        <v>211</v>
      </c>
      <c r="BD188" s="112" t="s">
        <v>211</v>
      </c>
      <c r="BE188" s="112" t="s">
        <v>211</v>
      </c>
      <c r="BF188" s="112" t="s">
        <v>211</v>
      </c>
      <c r="BG188" s="112" t="s">
        <v>211</v>
      </c>
      <c r="BH188" s="112"/>
      <c r="BI188" s="112"/>
      <c r="BJ188" s="112">
        <f t="shared" si="43"/>
        <v>0</v>
      </c>
      <c r="BK188" s="112" t="s">
        <v>211</v>
      </c>
      <c r="BL188" s="112" t="s">
        <v>211</v>
      </c>
      <c r="BM188" s="9"/>
      <c r="BN188" s="46" t="s">
        <v>284</v>
      </c>
    </row>
    <row r="189" spans="2:70" ht="30" customHeight="1" x14ac:dyDescent="0.2">
      <c r="B189" s="327"/>
      <c r="C189" s="381"/>
      <c r="D189" s="381"/>
      <c r="E189" s="381"/>
      <c r="F189" s="360"/>
      <c r="G189" s="64" t="s">
        <v>64</v>
      </c>
      <c r="H189" s="74" t="s">
        <v>25</v>
      </c>
      <c r="I189" s="65">
        <v>50</v>
      </c>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19">
        <v>50</v>
      </c>
      <c r="AV189" s="8">
        <v>3</v>
      </c>
      <c r="AW189" s="8">
        <v>2</v>
      </c>
      <c r="AX189" s="8">
        <v>6</v>
      </c>
      <c r="AY189" s="111" t="s">
        <v>211</v>
      </c>
      <c r="AZ189" s="107">
        <f>+AV189+AW189+AX189+AY189</f>
        <v>11</v>
      </c>
      <c r="BA189" s="8">
        <v>7</v>
      </c>
      <c r="BB189" s="8">
        <v>3</v>
      </c>
      <c r="BC189" s="8">
        <v>6</v>
      </c>
      <c r="BD189" s="8">
        <v>5</v>
      </c>
      <c r="BE189" s="6">
        <f>SUM(BA189+BB189+BC189+BD189)</f>
        <v>21</v>
      </c>
      <c r="BF189" s="8">
        <v>2</v>
      </c>
      <c r="BG189" s="8">
        <v>3</v>
      </c>
      <c r="BH189" s="8"/>
      <c r="BI189" s="8"/>
      <c r="BJ189" s="6">
        <f t="shared" si="43"/>
        <v>5</v>
      </c>
      <c r="BK189" s="107">
        <f t="shared" si="44"/>
        <v>37</v>
      </c>
      <c r="BL189" s="68">
        <f>SUM(BK189/AU189)</f>
        <v>0.74</v>
      </c>
      <c r="BM189" s="8"/>
      <c r="BN189" s="8"/>
    </row>
    <row r="190" spans="2:70" ht="29.25" customHeight="1" x14ac:dyDescent="0.2">
      <c r="B190" s="327"/>
      <c r="C190" s="381"/>
      <c r="D190" s="381"/>
      <c r="E190" s="381"/>
      <c r="F190" s="360"/>
      <c r="G190" s="64" t="s">
        <v>65</v>
      </c>
      <c r="H190" s="74" t="s">
        <v>25</v>
      </c>
      <c r="I190" s="65">
        <v>10</v>
      </c>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19">
        <v>10</v>
      </c>
      <c r="AV190" s="111" t="s">
        <v>211</v>
      </c>
      <c r="AW190" s="111" t="s">
        <v>211</v>
      </c>
      <c r="AX190" s="111" t="s">
        <v>360</v>
      </c>
      <c r="AY190" s="111" t="s">
        <v>362</v>
      </c>
      <c r="AZ190" s="107" t="s">
        <v>364</v>
      </c>
      <c r="BA190" s="111" t="s">
        <v>211</v>
      </c>
      <c r="BB190" s="111" t="s">
        <v>211</v>
      </c>
      <c r="BC190" s="111" t="s">
        <v>211</v>
      </c>
      <c r="BD190" s="111" t="s">
        <v>211</v>
      </c>
      <c r="BE190" s="111" t="s">
        <v>211</v>
      </c>
      <c r="BF190" s="8">
        <v>1</v>
      </c>
      <c r="BG190" s="111" t="s">
        <v>362</v>
      </c>
      <c r="BH190" s="111"/>
      <c r="BI190" s="111"/>
      <c r="BJ190" s="111" t="s">
        <v>360</v>
      </c>
      <c r="BK190" s="107">
        <f t="shared" si="44"/>
        <v>5</v>
      </c>
      <c r="BL190" s="68">
        <f>SUM(BK190/AU190)</f>
        <v>0.5</v>
      </c>
      <c r="BM190" s="8"/>
      <c r="BN190" s="8"/>
    </row>
    <row r="191" spans="2:70" ht="32.25" customHeight="1" x14ac:dyDescent="0.2">
      <c r="B191" s="327"/>
      <c r="C191" s="381"/>
      <c r="D191" s="381"/>
      <c r="E191" s="381"/>
      <c r="F191" s="360"/>
      <c r="G191" s="64" t="s">
        <v>66</v>
      </c>
      <c r="H191" s="74" t="s">
        <v>25</v>
      </c>
      <c r="I191" s="65">
        <v>1</v>
      </c>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19">
        <v>1</v>
      </c>
      <c r="AV191" s="111" t="s">
        <v>211</v>
      </c>
      <c r="AW191" s="111" t="s">
        <v>211</v>
      </c>
      <c r="AX191" s="111" t="s">
        <v>211</v>
      </c>
      <c r="AY191" s="111" t="s">
        <v>211</v>
      </c>
      <c r="AZ191" s="107" t="s">
        <v>211</v>
      </c>
      <c r="BA191" s="111" t="s">
        <v>211</v>
      </c>
      <c r="BB191" s="111" t="s">
        <v>211</v>
      </c>
      <c r="BC191" s="111" t="s">
        <v>211</v>
      </c>
      <c r="BD191" s="111" t="s">
        <v>211</v>
      </c>
      <c r="BE191" s="111" t="s">
        <v>211</v>
      </c>
      <c r="BF191" s="111" t="s">
        <v>211</v>
      </c>
      <c r="BG191" s="111" t="s">
        <v>211</v>
      </c>
      <c r="BH191" s="111"/>
      <c r="BI191" s="111"/>
      <c r="BJ191" s="111" t="s">
        <v>211</v>
      </c>
      <c r="BK191" s="107" t="s">
        <v>211</v>
      </c>
      <c r="BL191" s="107" t="s">
        <v>211</v>
      </c>
      <c r="BM191" s="358"/>
      <c r="BN191" s="358"/>
    </row>
    <row r="192" spans="2:70" ht="79.5" customHeight="1" x14ac:dyDescent="0.2">
      <c r="B192" s="327"/>
      <c r="C192" s="347"/>
      <c r="D192" s="348"/>
      <c r="E192" s="349"/>
      <c r="F192" s="64" t="s">
        <v>289</v>
      </c>
      <c r="G192" s="50"/>
      <c r="H192" s="350" t="s">
        <v>51</v>
      </c>
      <c r="I192" s="7">
        <v>360</v>
      </c>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v>360</v>
      </c>
      <c r="AV192" s="5">
        <v>26</v>
      </c>
      <c r="AW192" s="5">
        <v>18</v>
      </c>
      <c r="AX192" s="5">
        <v>26</v>
      </c>
      <c r="AY192" s="5">
        <v>32</v>
      </c>
      <c r="AZ192" s="7">
        <f>SUM(AV192:AY192)</f>
        <v>102</v>
      </c>
      <c r="BA192" s="5">
        <v>57</v>
      </c>
      <c r="BB192" s="5">
        <v>29</v>
      </c>
      <c r="BC192" s="5">
        <v>23</v>
      </c>
      <c r="BD192" s="5">
        <v>20</v>
      </c>
      <c r="BE192" s="7">
        <f>SUM(BA192+BB192+BC192+BD192)</f>
        <v>129</v>
      </c>
      <c r="BF192" s="5">
        <v>25</v>
      </c>
      <c r="BG192" s="112" t="s">
        <v>607</v>
      </c>
      <c r="BH192" s="112"/>
      <c r="BI192" s="112"/>
      <c r="BJ192" s="7">
        <v>61</v>
      </c>
      <c r="BK192" s="7">
        <f>SUM(AZ192+BE192+BJ192)</f>
        <v>292</v>
      </c>
      <c r="BL192" s="41">
        <f>SUM(BK192/AU192)</f>
        <v>0.81111111111111112</v>
      </c>
      <c r="BM192" s="358"/>
      <c r="BN192" s="46"/>
    </row>
    <row r="193" spans="2:70" ht="68.25" customHeight="1" x14ac:dyDescent="0.2">
      <c r="B193" s="327"/>
      <c r="C193" s="410"/>
      <c r="D193" s="411"/>
      <c r="E193" s="412"/>
      <c r="F193" s="361"/>
      <c r="G193" s="64" t="s">
        <v>164</v>
      </c>
      <c r="H193" s="359" t="s">
        <v>28</v>
      </c>
      <c r="I193" s="65">
        <v>24</v>
      </c>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19">
        <v>24</v>
      </c>
      <c r="AV193" s="111" t="s">
        <v>211</v>
      </c>
      <c r="AW193" s="111" t="s">
        <v>211</v>
      </c>
      <c r="AX193" s="111" t="s">
        <v>211</v>
      </c>
      <c r="AY193" s="8">
        <v>1</v>
      </c>
      <c r="AZ193" s="107" t="s">
        <v>362</v>
      </c>
      <c r="BA193" s="111" t="s">
        <v>211</v>
      </c>
      <c r="BB193" s="111" t="s">
        <v>211</v>
      </c>
      <c r="BC193" s="111" t="s">
        <v>211</v>
      </c>
      <c r="BD193" s="111" t="s">
        <v>211</v>
      </c>
      <c r="BE193" s="111" t="s">
        <v>211</v>
      </c>
      <c r="BF193" s="111" t="s">
        <v>211</v>
      </c>
      <c r="BG193" s="8" t="s">
        <v>211</v>
      </c>
      <c r="BH193" s="111"/>
      <c r="BI193" s="111"/>
      <c r="BJ193" s="6">
        <f t="shared" si="43"/>
        <v>0</v>
      </c>
      <c r="BK193" s="107">
        <f>SUM(AZ193+BE193)</f>
        <v>1</v>
      </c>
      <c r="BL193" s="68">
        <f>SUM(BK193/AU193)</f>
        <v>4.1666666666666664E-2</v>
      </c>
      <c r="BM193" s="358"/>
      <c r="BN193" s="9"/>
    </row>
    <row r="194" spans="2:70" ht="75" customHeight="1" x14ac:dyDescent="0.2">
      <c r="B194" s="327"/>
      <c r="C194" s="381"/>
      <c r="D194" s="381"/>
      <c r="E194" s="381"/>
      <c r="F194" s="64" t="s">
        <v>547</v>
      </c>
      <c r="G194" s="48"/>
      <c r="H194" s="19" t="s">
        <v>51</v>
      </c>
      <c r="I194" s="112" t="s">
        <v>211</v>
      </c>
      <c r="J194" s="111" t="s">
        <v>211</v>
      </c>
      <c r="K194" s="111" t="s">
        <v>211</v>
      </c>
      <c r="L194" s="111" t="s">
        <v>211</v>
      </c>
      <c r="M194" s="111" t="s">
        <v>211</v>
      </c>
      <c r="N194" s="111" t="s">
        <v>211</v>
      </c>
      <c r="O194" s="111" t="s">
        <v>211</v>
      </c>
      <c r="P194" s="111" t="s">
        <v>211</v>
      </c>
      <c r="Q194" s="111" t="s">
        <v>211</v>
      </c>
      <c r="R194" s="111" t="s">
        <v>211</v>
      </c>
      <c r="S194" s="111" t="s">
        <v>211</v>
      </c>
      <c r="T194" s="111" t="s">
        <v>211</v>
      </c>
      <c r="U194" s="111" t="s">
        <v>211</v>
      </c>
      <c r="V194" s="111" t="s">
        <v>211</v>
      </c>
      <c r="W194" s="111"/>
      <c r="X194" s="111"/>
      <c r="Y194" s="111"/>
      <c r="Z194" s="111"/>
      <c r="AA194" s="111"/>
      <c r="AB194" s="111" t="s">
        <v>556</v>
      </c>
      <c r="AC194" s="111"/>
      <c r="AD194" s="111"/>
      <c r="AE194" s="111"/>
      <c r="AF194" s="111"/>
      <c r="AG194" s="111"/>
      <c r="AH194" s="111"/>
      <c r="AI194" s="111"/>
      <c r="AJ194" s="111"/>
      <c r="AK194" s="111"/>
      <c r="AL194" s="111"/>
      <c r="AM194" s="111"/>
      <c r="AN194" s="111"/>
      <c r="AO194" s="111"/>
      <c r="AP194" s="111"/>
      <c r="AQ194" s="111"/>
      <c r="AR194" s="111" t="s">
        <v>695</v>
      </c>
      <c r="AS194" s="111"/>
      <c r="AT194" s="111"/>
      <c r="AU194" s="371" t="s">
        <v>696</v>
      </c>
      <c r="AV194" s="111"/>
      <c r="AW194" s="111"/>
      <c r="AX194" s="111"/>
      <c r="AY194" s="8"/>
      <c r="AZ194" s="112" t="s">
        <v>211</v>
      </c>
      <c r="BA194" s="112" t="s">
        <v>211</v>
      </c>
      <c r="BB194" s="112" t="s">
        <v>211</v>
      </c>
      <c r="BC194" s="112" t="s">
        <v>211</v>
      </c>
      <c r="BD194" s="112" t="s">
        <v>211</v>
      </c>
      <c r="BE194" s="112" t="s">
        <v>211</v>
      </c>
      <c r="BF194" s="112" t="s">
        <v>211</v>
      </c>
      <c r="BG194" s="5">
        <v>26</v>
      </c>
      <c r="BH194" s="112"/>
      <c r="BI194" s="112"/>
      <c r="BJ194" s="7">
        <f t="shared" si="43"/>
        <v>26</v>
      </c>
      <c r="BK194" s="112">
        <f t="shared" ref="BK194" si="45">+BJ194+BE194+AZ194</f>
        <v>26</v>
      </c>
      <c r="BL194" s="41">
        <f>SUM(BK194/AU194)</f>
        <v>0.18978102189781021</v>
      </c>
      <c r="BM194" s="599" t="s">
        <v>730</v>
      </c>
      <c r="BN194" s="600"/>
    </row>
    <row r="195" spans="2:70" s="181" customFormat="1" ht="18" customHeight="1" x14ac:dyDescent="0.2">
      <c r="B195" s="429" t="s">
        <v>165</v>
      </c>
      <c r="C195" s="430"/>
      <c r="D195" s="430"/>
      <c r="E195" s="430"/>
      <c r="F195" s="430"/>
      <c r="G195" s="430"/>
      <c r="H195" s="430"/>
      <c r="I195" s="430"/>
      <c r="J195" s="430"/>
      <c r="K195" s="430"/>
      <c r="L195" s="430"/>
      <c r="M195" s="430"/>
      <c r="N195" s="430"/>
      <c r="O195" s="430"/>
      <c r="P195" s="430"/>
      <c r="Q195" s="430"/>
      <c r="R195" s="430"/>
      <c r="S195" s="430"/>
      <c r="T195" s="430"/>
      <c r="U195" s="430"/>
      <c r="V195" s="430"/>
      <c r="W195" s="430"/>
      <c r="X195" s="430"/>
      <c r="Y195" s="430"/>
      <c r="Z195" s="430"/>
      <c r="AA195" s="430"/>
      <c r="AB195" s="430"/>
      <c r="AC195" s="430"/>
      <c r="AD195" s="430"/>
      <c r="AE195" s="430"/>
      <c r="AF195" s="430"/>
      <c r="AG195" s="430"/>
      <c r="AH195" s="430"/>
      <c r="AI195" s="430"/>
      <c r="AJ195" s="430"/>
      <c r="AK195" s="430"/>
      <c r="AL195" s="430"/>
      <c r="AM195" s="430"/>
      <c r="AN195" s="430"/>
      <c r="AO195" s="430"/>
      <c r="AP195" s="430"/>
      <c r="AQ195" s="430"/>
      <c r="AR195" s="430"/>
      <c r="AS195" s="430"/>
      <c r="AT195" s="430"/>
      <c r="AU195" s="430"/>
      <c r="AV195" s="430"/>
      <c r="AW195" s="430"/>
      <c r="AX195" s="430"/>
      <c r="AY195" s="430"/>
      <c r="AZ195" s="430"/>
      <c r="BA195" s="430"/>
      <c r="BB195" s="430"/>
      <c r="BC195" s="430"/>
      <c r="BD195" s="430"/>
      <c r="BE195" s="430"/>
      <c r="BF195" s="430"/>
      <c r="BG195" s="430"/>
      <c r="BH195" s="430"/>
      <c r="BI195" s="430"/>
      <c r="BJ195" s="430"/>
      <c r="BK195" s="430"/>
      <c r="BL195" s="430"/>
      <c r="BM195" s="430"/>
      <c r="BN195" s="217"/>
    </row>
    <row r="196" spans="2:70" s="181" customFormat="1" ht="31.5" customHeight="1" x14ac:dyDescent="0.2">
      <c r="B196" s="397" t="s">
        <v>102</v>
      </c>
      <c r="C196" s="397"/>
      <c r="D196" s="397"/>
      <c r="E196" s="397"/>
      <c r="F196" s="598" t="s">
        <v>181</v>
      </c>
      <c r="G196" s="598"/>
      <c r="H196" s="598"/>
      <c r="I196" s="598"/>
      <c r="J196" s="598"/>
      <c r="K196" s="598"/>
      <c r="L196" s="598"/>
      <c r="M196" s="598"/>
      <c r="N196" s="598"/>
      <c r="O196" s="598"/>
      <c r="P196" s="598"/>
      <c r="Q196" s="598"/>
      <c r="R196" s="598"/>
      <c r="S196" s="598"/>
      <c r="T196" s="598"/>
      <c r="U196" s="598"/>
      <c r="V196" s="598"/>
      <c r="W196" s="598"/>
      <c r="X196" s="598"/>
      <c r="Y196" s="598"/>
      <c r="Z196" s="598"/>
      <c r="AA196" s="598"/>
      <c r="AB196" s="598"/>
      <c r="AC196" s="598"/>
      <c r="AD196" s="598"/>
      <c r="AE196" s="598"/>
      <c r="AF196" s="598"/>
      <c r="AG196" s="598"/>
      <c r="AH196" s="598"/>
      <c r="AI196" s="598"/>
      <c r="AJ196" s="598"/>
      <c r="AK196" s="598"/>
      <c r="AL196" s="598"/>
      <c r="AM196" s="598"/>
      <c r="AN196" s="598"/>
      <c r="AO196" s="598"/>
      <c r="AP196" s="598"/>
      <c r="AQ196" s="598"/>
      <c r="AR196" s="598"/>
      <c r="AS196" s="598"/>
      <c r="AT196" s="598"/>
      <c r="AU196" s="598"/>
      <c r="AV196" s="598"/>
      <c r="AW196" s="598"/>
      <c r="AX196" s="598"/>
      <c r="AY196" s="598"/>
      <c r="AZ196" s="598"/>
      <c r="BA196" s="598"/>
      <c r="BB196" s="598"/>
      <c r="BC196" s="598"/>
      <c r="BD196" s="598"/>
      <c r="BE196" s="598"/>
      <c r="BF196" s="598"/>
      <c r="BG196" s="598"/>
      <c r="BH196" s="598"/>
      <c r="BI196" s="598"/>
      <c r="BJ196" s="598"/>
      <c r="BK196" s="598"/>
      <c r="BL196" s="598"/>
      <c r="BM196" s="598"/>
      <c r="BN196" s="598"/>
    </row>
    <row r="197" spans="2:70" s="181" customFormat="1" ht="16.5" customHeight="1" x14ac:dyDescent="0.2">
      <c r="B197" s="387" t="s">
        <v>103</v>
      </c>
      <c r="C197" s="387"/>
      <c r="D197" s="387"/>
      <c r="E197" s="387"/>
      <c r="F197" s="537" t="s">
        <v>166</v>
      </c>
      <c r="G197" s="537"/>
      <c r="H197" s="537"/>
      <c r="I197" s="537"/>
      <c r="J197" s="537"/>
      <c r="K197" s="537"/>
      <c r="L197" s="537"/>
      <c r="M197" s="537"/>
      <c r="N197" s="537"/>
      <c r="O197" s="537"/>
      <c r="P197" s="537"/>
      <c r="Q197" s="537"/>
      <c r="R197" s="537"/>
      <c r="S197" s="537"/>
      <c r="T197" s="537"/>
      <c r="U197" s="537"/>
      <c r="V197" s="537"/>
      <c r="W197" s="537"/>
      <c r="X197" s="537"/>
      <c r="Y197" s="537"/>
      <c r="Z197" s="537"/>
      <c r="AA197" s="537"/>
      <c r="AB197" s="537"/>
      <c r="AC197" s="537"/>
      <c r="AD197" s="537"/>
      <c r="AE197" s="537"/>
      <c r="AF197" s="537"/>
      <c r="AG197" s="537"/>
      <c r="AH197" s="537"/>
      <c r="AI197" s="537"/>
      <c r="AJ197" s="537"/>
      <c r="AK197" s="537"/>
      <c r="AL197" s="537"/>
      <c r="AM197" s="537"/>
      <c r="AN197" s="537"/>
      <c r="AO197" s="537"/>
      <c r="AP197" s="537"/>
      <c r="AQ197" s="537"/>
      <c r="AR197" s="537"/>
      <c r="AS197" s="537"/>
      <c r="AT197" s="537"/>
      <c r="AU197" s="537"/>
      <c r="AV197" s="537"/>
      <c r="AW197" s="537"/>
      <c r="AX197" s="537"/>
      <c r="AY197" s="537"/>
      <c r="AZ197" s="537"/>
      <c r="BA197" s="537"/>
      <c r="BB197" s="537"/>
      <c r="BC197" s="537"/>
      <c r="BD197" s="537"/>
      <c r="BE197" s="537"/>
      <c r="BF197" s="537"/>
      <c r="BG197" s="537"/>
      <c r="BH197" s="537"/>
      <c r="BI197" s="537"/>
      <c r="BJ197" s="537"/>
      <c r="BK197" s="537"/>
      <c r="BL197" s="537"/>
      <c r="BM197" s="537"/>
      <c r="BN197" s="537"/>
    </row>
    <row r="198" spans="2:70" ht="21" customHeight="1" x14ac:dyDescent="0.2">
      <c r="B198" s="88"/>
      <c r="C198" s="413" t="s">
        <v>235</v>
      </c>
      <c r="D198" s="414"/>
      <c r="E198" s="414"/>
      <c r="F198" s="414"/>
      <c r="G198" s="414"/>
      <c r="H198" s="414"/>
      <c r="I198" s="414"/>
      <c r="J198" s="414"/>
      <c r="K198" s="414"/>
      <c r="L198" s="414"/>
      <c r="M198" s="414"/>
      <c r="N198" s="414"/>
      <c r="O198" s="414"/>
      <c r="P198" s="414"/>
      <c r="Q198" s="414"/>
      <c r="R198" s="414"/>
      <c r="S198" s="414"/>
      <c r="T198" s="414"/>
      <c r="U198" s="414"/>
      <c r="V198" s="414"/>
      <c r="W198" s="414"/>
      <c r="X198" s="414"/>
      <c r="Y198" s="414"/>
      <c r="Z198" s="414"/>
      <c r="AA198" s="414"/>
      <c r="AB198" s="414"/>
      <c r="AC198" s="414"/>
      <c r="AD198" s="414"/>
      <c r="AE198" s="414"/>
      <c r="AF198" s="414"/>
      <c r="AG198" s="414"/>
      <c r="AH198" s="414"/>
      <c r="AI198" s="414"/>
      <c r="AJ198" s="414"/>
      <c r="AK198" s="414"/>
      <c r="AL198" s="414"/>
      <c r="AM198" s="414"/>
      <c r="AN198" s="414"/>
      <c r="AO198" s="414"/>
      <c r="AP198" s="414"/>
      <c r="AQ198" s="414"/>
      <c r="AR198" s="414"/>
      <c r="AS198" s="414"/>
      <c r="AT198" s="414"/>
      <c r="AU198" s="414"/>
      <c r="AV198" s="414"/>
      <c r="AW198" s="414"/>
      <c r="AX198" s="414"/>
      <c r="AY198" s="414"/>
      <c r="AZ198" s="414"/>
      <c r="BA198" s="414"/>
      <c r="BB198" s="414"/>
      <c r="BC198" s="414"/>
      <c r="BD198" s="414"/>
      <c r="BE198" s="414"/>
      <c r="BF198" s="414"/>
      <c r="BG198" s="414"/>
      <c r="BH198" s="414"/>
      <c r="BI198" s="414"/>
      <c r="BJ198" s="414"/>
      <c r="BK198" s="414"/>
      <c r="BL198" s="414"/>
      <c r="BM198" s="414"/>
      <c r="BN198" s="415"/>
    </row>
    <row r="199" spans="2:70" ht="49.5" customHeight="1" x14ac:dyDescent="0.2">
      <c r="B199" s="184" t="s">
        <v>139</v>
      </c>
      <c r="C199" s="401" t="s">
        <v>94</v>
      </c>
      <c r="D199" s="402"/>
      <c r="E199" s="403"/>
      <c r="F199" s="185" t="s">
        <v>95</v>
      </c>
      <c r="G199" s="186" t="s">
        <v>4</v>
      </c>
      <c r="H199" s="187" t="s">
        <v>3</v>
      </c>
      <c r="I199" s="188" t="s">
        <v>96</v>
      </c>
      <c r="J199" s="207" t="s">
        <v>494</v>
      </c>
      <c r="K199" s="207" t="s">
        <v>495</v>
      </c>
      <c r="L199" s="207" t="s">
        <v>380</v>
      </c>
      <c r="M199" s="208" t="s">
        <v>381</v>
      </c>
      <c r="N199" s="207" t="s">
        <v>517</v>
      </c>
      <c r="O199" s="207" t="s">
        <v>518</v>
      </c>
      <c r="P199" s="207" t="s">
        <v>490</v>
      </c>
      <c r="Q199" s="208" t="s">
        <v>491</v>
      </c>
      <c r="R199" s="208" t="s">
        <v>492</v>
      </c>
      <c r="S199" s="208" t="s">
        <v>493</v>
      </c>
      <c r="T199" s="208" t="s">
        <v>519</v>
      </c>
      <c r="U199" s="208" t="s">
        <v>523</v>
      </c>
      <c r="V199" s="208" t="s">
        <v>525</v>
      </c>
      <c r="W199" s="208" t="s">
        <v>571</v>
      </c>
      <c r="X199" s="208" t="s">
        <v>538</v>
      </c>
      <c r="Y199" s="208" t="s">
        <v>553</v>
      </c>
      <c r="Z199" s="208" t="s">
        <v>554</v>
      </c>
      <c r="AA199" s="307" t="s">
        <v>581</v>
      </c>
      <c r="AB199" s="208" t="s">
        <v>570</v>
      </c>
      <c r="AC199" s="307" t="s">
        <v>564</v>
      </c>
      <c r="AD199" s="307" t="s">
        <v>582</v>
      </c>
      <c r="AE199" s="309" t="s">
        <v>578</v>
      </c>
      <c r="AF199" s="307" t="s">
        <v>635</v>
      </c>
      <c r="AG199" s="307" t="s">
        <v>590</v>
      </c>
      <c r="AH199" s="307" t="s">
        <v>606</v>
      </c>
      <c r="AI199" s="307" t="s">
        <v>636</v>
      </c>
      <c r="AJ199" s="307" t="s">
        <v>623</v>
      </c>
      <c r="AK199" s="307" t="s">
        <v>628</v>
      </c>
      <c r="AL199" s="307" t="s">
        <v>637</v>
      </c>
      <c r="AM199" s="307" t="s">
        <v>641</v>
      </c>
      <c r="AN199" s="307" t="s">
        <v>643</v>
      </c>
      <c r="AO199" s="307" t="s">
        <v>646</v>
      </c>
      <c r="AP199" s="307" t="s">
        <v>650</v>
      </c>
      <c r="AQ199" s="307" t="s">
        <v>689</v>
      </c>
      <c r="AR199" s="307" t="s">
        <v>697</v>
      </c>
      <c r="AS199" s="307" t="s">
        <v>725</v>
      </c>
      <c r="AT199" s="307" t="s">
        <v>729</v>
      </c>
      <c r="AU199" s="188" t="s">
        <v>150</v>
      </c>
      <c r="AV199" s="1" t="s">
        <v>5</v>
      </c>
      <c r="AW199" s="1" t="s">
        <v>6</v>
      </c>
      <c r="AX199" s="1" t="s">
        <v>7</v>
      </c>
      <c r="AY199" s="1" t="s">
        <v>8</v>
      </c>
      <c r="AZ199" s="34" t="s">
        <v>157</v>
      </c>
      <c r="BA199" s="2" t="s">
        <v>9</v>
      </c>
      <c r="BB199" s="2" t="s">
        <v>10</v>
      </c>
      <c r="BC199" s="2" t="s">
        <v>11</v>
      </c>
      <c r="BD199" s="2" t="s">
        <v>12</v>
      </c>
      <c r="BE199" s="34" t="s">
        <v>158</v>
      </c>
      <c r="BF199" s="2" t="s">
        <v>13</v>
      </c>
      <c r="BG199" s="2" t="s">
        <v>14</v>
      </c>
      <c r="BH199" s="2" t="s">
        <v>15</v>
      </c>
      <c r="BI199" s="2" t="s">
        <v>16</v>
      </c>
      <c r="BJ199" s="34" t="s">
        <v>159</v>
      </c>
      <c r="BK199" s="189" t="s">
        <v>97</v>
      </c>
      <c r="BL199" s="189" t="s">
        <v>98</v>
      </c>
      <c r="BM199" s="190" t="s">
        <v>248</v>
      </c>
      <c r="BN199" s="244" t="s">
        <v>99</v>
      </c>
    </row>
    <row r="200" spans="2:70" ht="87.75" customHeight="1" x14ac:dyDescent="0.2">
      <c r="B200" s="30">
        <v>5</v>
      </c>
      <c r="C200" s="378" t="s">
        <v>286</v>
      </c>
      <c r="D200" s="379"/>
      <c r="E200" s="380"/>
      <c r="F200" s="35"/>
      <c r="G200" s="35"/>
      <c r="H200" s="155" t="s">
        <v>24</v>
      </c>
      <c r="I200" s="10">
        <v>1500</v>
      </c>
      <c r="J200" s="10"/>
      <c r="K200" s="10"/>
      <c r="L200" s="10"/>
      <c r="M200" s="10" t="s">
        <v>422</v>
      </c>
      <c r="N200" s="10"/>
      <c r="O200" s="10"/>
      <c r="P200" s="10"/>
      <c r="Q200" s="10"/>
      <c r="R200" s="10"/>
      <c r="S200" s="10"/>
      <c r="T200" s="10"/>
      <c r="U200" s="10"/>
      <c r="V200" s="10"/>
      <c r="W200" s="10"/>
      <c r="X200" s="10"/>
      <c r="Y200" s="10"/>
      <c r="Z200" s="10"/>
      <c r="AA200" s="10" t="s">
        <v>548</v>
      </c>
      <c r="AB200" s="10"/>
      <c r="AC200" s="10"/>
      <c r="AD200" s="10"/>
      <c r="AE200" s="10"/>
      <c r="AF200" s="10"/>
      <c r="AG200" s="10"/>
      <c r="AH200" s="10"/>
      <c r="AI200" s="10"/>
      <c r="AJ200" s="10"/>
      <c r="AK200" s="10"/>
      <c r="AL200" s="10"/>
      <c r="AM200" s="10"/>
      <c r="AN200" s="10"/>
      <c r="AO200" s="10"/>
      <c r="AP200" s="10"/>
      <c r="AQ200" s="10"/>
      <c r="AR200" s="10"/>
      <c r="AS200" s="10"/>
      <c r="AT200" s="10"/>
      <c r="AU200" s="252">
        <v>1241</v>
      </c>
      <c r="AV200" s="111" t="s">
        <v>211</v>
      </c>
      <c r="AW200" s="111" t="s">
        <v>211</v>
      </c>
      <c r="AX200" s="112" t="s">
        <v>211</v>
      </c>
      <c r="AY200" s="112" t="s">
        <v>211</v>
      </c>
      <c r="AZ200" s="112" t="s">
        <v>211</v>
      </c>
      <c r="BA200" s="112" t="s">
        <v>211</v>
      </c>
      <c r="BB200" s="112" t="s">
        <v>211</v>
      </c>
      <c r="BC200" s="112" t="s">
        <v>211</v>
      </c>
      <c r="BD200" s="112" t="s">
        <v>211</v>
      </c>
      <c r="BE200" s="112" t="s">
        <v>211</v>
      </c>
      <c r="BF200" s="112" t="s">
        <v>211</v>
      </c>
      <c r="BG200" s="112" t="s">
        <v>211</v>
      </c>
      <c r="BH200" s="112"/>
      <c r="BI200" s="112"/>
      <c r="BJ200" s="112">
        <f>SUM(BF200:BI200)</f>
        <v>0</v>
      </c>
      <c r="BK200" s="112" t="s">
        <v>211</v>
      </c>
      <c r="BL200" s="112" t="s">
        <v>211</v>
      </c>
      <c r="BM200" s="3">
        <v>7550879</v>
      </c>
      <c r="BN200" s="258" t="s">
        <v>667</v>
      </c>
      <c r="BO200" s="48"/>
    </row>
    <row r="201" spans="2:70" ht="110.25" customHeight="1" x14ac:dyDescent="0.2">
      <c r="B201" s="203"/>
      <c r="C201" s="577"/>
      <c r="D201" s="578"/>
      <c r="E201" s="579"/>
      <c r="F201" s="58" t="s">
        <v>231</v>
      </c>
      <c r="G201" s="35"/>
      <c r="H201" s="19" t="s">
        <v>24</v>
      </c>
      <c r="I201" s="10">
        <v>1000</v>
      </c>
      <c r="J201" s="10"/>
      <c r="K201" s="10"/>
      <c r="L201" s="10"/>
      <c r="M201" s="10" t="s">
        <v>419</v>
      </c>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252">
        <v>875</v>
      </c>
      <c r="AV201" s="111" t="s">
        <v>211</v>
      </c>
      <c r="AW201" s="111" t="s">
        <v>211</v>
      </c>
      <c r="AX201" s="112" t="s">
        <v>211</v>
      </c>
      <c r="AY201" s="112" t="s">
        <v>211</v>
      </c>
      <c r="AZ201" s="112" t="s">
        <v>211</v>
      </c>
      <c r="BA201" s="112" t="s">
        <v>211</v>
      </c>
      <c r="BB201" s="112" t="s">
        <v>211</v>
      </c>
      <c r="BC201" s="112" t="s">
        <v>211</v>
      </c>
      <c r="BD201" s="112" t="s">
        <v>211</v>
      </c>
      <c r="BE201" s="112" t="s">
        <v>211</v>
      </c>
      <c r="BF201" s="112" t="s">
        <v>211</v>
      </c>
      <c r="BG201" s="112" t="s">
        <v>211</v>
      </c>
      <c r="BH201" s="112"/>
      <c r="BI201" s="112"/>
      <c r="BJ201" s="112">
        <f>SUM(BF201:BI201)</f>
        <v>0</v>
      </c>
      <c r="BK201" s="112" t="s">
        <v>211</v>
      </c>
      <c r="BL201" s="112" t="s">
        <v>211</v>
      </c>
      <c r="BM201" s="596" t="s">
        <v>609</v>
      </c>
      <c r="BN201" s="596"/>
      <c r="BO201" s="596"/>
      <c r="BP201" s="131"/>
    </row>
    <row r="202" spans="2:70" ht="108.75" customHeight="1" x14ac:dyDescent="0.2">
      <c r="B202" s="203"/>
      <c r="C202" s="577"/>
      <c r="D202" s="578"/>
      <c r="E202" s="579"/>
      <c r="F202" s="58" t="s">
        <v>232</v>
      </c>
      <c r="G202" s="35"/>
      <c r="H202" s="19" t="s">
        <v>51</v>
      </c>
      <c r="I202" s="7">
        <v>3</v>
      </c>
      <c r="J202" s="7"/>
      <c r="K202" s="7"/>
      <c r="L202" s="7"/>
      <c r="M202" s="7" t="s">
        <v>420</v>
      </c>
      <c r="N202" s="7"/>
      <c r="O202" s="7"/>
      <c r="P202" s="7"/>
      <c r="Q202" s="7"/>
      <c r="R202" s="7"/>
      <c r="S202" s="7"/>
      <c r="T202" s="7"/>
      <c r="U202" s="7"/>
      <c r="V202" s="7"/>
      <c r="W202" s="7"/>
      <c r="X202" s="7"/>
      <c r="Y202" s="7"/>
      <c r="Z202" s="7"/>
      <c r="AA202" s="7" t="s">
        <v>546</v>
      </c>
      <c r="AB202" s="7"/>
      <c r="AC202" s="7"/>
      <c r="AD202" s="7"/>
      <c r="AE202" s="7"/>
      <c r="AF202" s="7"/>
      <c r="AG202" s="7"/>
      <c r="AH202" s="7"/>
      <c r="AI202" s="7"/>
      <c r="AJ202" s="7"/>
      <c r="AK202" s="7"/>
      <c r="AL202" s="7"/>
      <c r="AM202" s="7"/>
      <c r="AN202" s="7"/>
      <c r="AO202" s="7"/>
      <c r="AP202" s="7"/>
      <c r="AQ202" s="7"/>
      <c r="AR202" s="7"/>
      <c r="AS202" s="7"/>
      <c r="AT202" s="7"/>
      <c r="AU202" s="291">
        <v>10</v>
      </c>
      <c r="AV202" s="112" t="s">
        <v>211</v>
      </c>
      <c r="AW202" s="112" t="s">
        <v>211</v>
      </c>
      <c r="AX202" s="112" t="s">
        <v>211</v>
      </c>
      <c r="AY202" s="112" t="s">
        <v>211</v>
      </c>
      <c r="AZ202" s="112" t="s">
        <v>211</v>
      </c>
      <c r="BA202" s="112" t="s">
        <v>211</v>
      </c>
      <c r="BB202" s="112" t="s">
        <v>211</v>
      </c>
      <c r="BC202" s="112" t="s">
        <v>211</v>
      </c>
      <c r="BD202" s="112" t="s">
        <v>211</v>
      </c>
      <c r="BE202" s="112" t="s">
        <v>211</v>
      </c>
      <c r="BF202" s="112" t="s">
        <v>476</v>
      </c>
      <c r="BG202" s="112" t="s">
        <v>476</v>
      </c>
      <c r="BH202" s="5"/>
      <c r="BI202" s="112"/>
      <c r="BJ202" s="7">
        <v>4</v>
      </c>
      <c r="BK202" s="112">
        <f>SUM(AZ202+BE202+BJ202)</f>
        <v>4</v>
      </c>
      <c r="BL202" s="325">
        <f>SUM(BK202/AU202)</f>
        <v>0.4</v>
      </c>
      <c r="BM202" s="596" t="s">
        <v>610</v>
      </c>
      <c r="BN202" s="596"/>
      <c r="BO202" s="596"/>
    </row>
    <row r="203" spans="2:70" ht="87.75" customHeight="1" x14ac:dyDescent="0.2">
      <c r="B203" s="203"/>
      <c r="C203" s="577"/>
      <c r="D203" s="578"/>
      <c r="E203" s="579"/>
      <c r="F203" s="58" t="s">
        <v>290</v>
      </c>
      <c r="G203" s="128"/>
      <c r="H203" s="19" t="s">
        <v>24</v>
      </c>
      <c r="I203" s="6">
        <v>500</v>
      </c>
      <c r="J203" s="6"/>
      <c r="K203" s="6"/>
      <c r="L203" s="6"/>
      <c r="M203" s="10" t="s">
        <v>421</v>
      </c>
      <c r="N203" s="10"/>
      <c r="O203" s="10"/>
      <c r="P203" s="10"/>
      <c r="Q203" s="10"/>
      <c r="R203" s="10"/>
      <c r="S203" s="10"/>
      <c r="T203" s="10"/>
      <c r="U203" s="10"/>
      <c r="V203" s="10"/>
      <c r="W203" s="10"/>
      <c r="X203" s="10"/>
      <c r="Y203" s="10"/>
      <c r="Z203" s="10"/>
      <c r="AA203" s="10" t="s">
        <v>548</v>
      </c>
      <c r="AB203" s="10"/>
      <c r="AC203" s="10"/>
      <c r="AD203" s="10"/>
      <c r="AE203" s="10"/>
      <c r="AF203" s="10"/>
      <c r="AG203" s="10"/>
      <c r="AH203" s="10"/>
      <c r="AI203" s="10"/>
      <c r="AJ203" s="10"/>
      <c r="AK203" s="10"/>
      <c r="AL203" s="10"/>
      <c r="AM203" s="10"/>
      <c r="AN203" s="10"/>
      <c r="AO203" s="10"/>
      <c r="AP203" s="10"/>
      <c r="AQ203" s="10"/>
      <c r="AR203" s="10"/>
      <c r="AS203" s="10"/>
      <c r="AT203" s="10"/>
      <c r="AU203" s="252">
        <v>366</v>
      </c>
      <c r="AV203" s="111" t="s">
        <v>211</v>
      </c>
      <c r="AW203" s="111" t="s">
        <v>211</v>
      </c>
      <c r="AX203" s="112" t="s">
        <v>211</v>
      </c>
      <c r="AY203" s="111" t="s">
        <v>211</v>
      </c>
      <c r="AZ203" s="112" t="s">
        <v>211</v>
      </c>
      <c r="BA203" s="112" t="s">
        <v>211</v>
      </c>
      <c r="BB203" s="112" t="s">
        <v>211</v>
      </c>
      <c r="BC203" s="112" t="s">
        <v>211</v>
      </c>
      <c r="BD203" s="112" t="s">
        <v>211</v>
      </c>
      <c r="BE203" s="112" t="s">
        <v>211</v>
      </c>
      <c r="BF203" s="112" t="s">
        <v>211</v>
      </c>
      <c r="BG203" s="112" t="s">
        <v>211</v>
      </c>
      <c r="BH203" s="111"/>
      <c r="BI203" s="111"/>
      <c r="BJ203" s="111">
        <f>SUM(BF203:BI203)</f>
        <v>0</v>
      </c>
      <c r="BK203" s="112" t="s">
        <v>211</v>
      </c>
      <c r="BL203" s="112" t="s">
        <v>211</v>
      </c>
      <c r="BM203" s="596" t="s">
        <v>611</v>
      </c>
      <c r="BN203" s="596"/>
      <c r="BO203" s="596"/>
    </row>
    <row r="204" spans="2:70" s="181" customFormat="1" ht="15.75" customHeight="1" x14ac:dyDescent="0.2">
      <c r="B204" s="429" t="s">
        <v>154</v>
      </c>
      <c r="C204" s="430"/>
      <c r="D204" s="430"/>
      <c r="E204" s="430"/>
      <c r="F204" s="430"/>
      <c r="G204" s="430"/>
      <c r="H204" s="430"/>
      <c r="I204" s="430"/>
      <c r="J204" s="430"/>
      <c r="K204" s="430"/>
      <c r="L204" s="430"/>
      <c r="M204" s="430"/>
      <c r="N204" s="430"/>
      <c r="O204" s="430"/>
      <c r="P204" s="430"/>
      <c r="Q204" s="430"/>
      <c r="R204" s="430"/>
      <c r="S204" s="430"/>
      <c r="T204" s="430"/>
      <c r="U204" s="430"/>
      <c r="V204" s="430"/>
      <c r="W204" s="430"/>
      <c r="X204" s="430"/>
      <c r="Y204" s="430"/>
      <c r="Z204" s="430"/>
      <c r="AA204" s="430"/>
      <c r="AB204" s="430"/>
      <c r="AC204" s="430"/>
      <c r="AD204" s="430"/>
      <c r="AE204" s="430"/>
      <c r="AF204" s="430"/>
      <c r="AG204" s="430"/>
      <c r="AH204" s="430"/>
      <c r="AI204" s="430"/>
      <c r="AJ204" s="430"/>
      <c r="AK204" s="430"/>
      <c r="AL204" s="430"/>
      <c r="AM204" s="430"/>
      <c r="AN204" s="430"/>
      <c r="AO204" s="430"/>
      <c r="AP204" s="430"/>
      <c r="AQ204" s="430"/>
      <c r="AR204" s="430"/>
      <c r="AS204" s="430"/>
      <c r="AT204" s="430"/>
      <c r="AU204" s="430"/>
      <c r="AV204" s="430"/>
      <c r="AW204" s="430"/>
      <c r="AX204" s="430"/>
      <c r="AY204" s="430"/>
      <c r="AZ204" s="430"/>
      <c r="BA204" s="430"/>
      <c r="BB204" s="430"/>
      <c r="BC204" s="430"/>
      <c r="BD204" s="430"/>
      <c r="BE204" s="430"/>
      <c r="BF204" s="430"/>
      <c r="BG204" s="430"/>
      <c r="BH204" s="430"/>
      <c r="BI204" s="430"/>
      <c r="BJ204" s="430"/>
      <c r="BK204" s="430"/>
      <c r="BL204" s="430"/>
      <c r="BM204" s="430"/>
      <c r="BN204" s="213"/>
      <c r="BO204" s="229"/>
      <c r="BP204" s="202"/>
      <c r="BQ204" s="202"/>
      <c r="BR204" s="202"/>
    </row>
    <row r="205" spans="2:70" s="181" customFormat="1" ht="15" customHeight="1" x14ac:dyDescent="0.2">
      <c r="B205" s="574" t="s">
        <v>102</v>
      </c>
      <c r="C205" s="575"/>
      <c r="D205" s="575"/>
      <c r="E205" s="576"/>
      <c r="F205" s="568" t="s">
        <v>189</v>
      </c>
      <c r="G205" s="569"/>
      <c r="H205" s="569"/>
      <c r="I205" s="569"/>
      <c r="J205" s="569"/>
      <c r="K205" s="569"/>
      <c r="L205" s="569"/>
      <c r="M205" s="569"/>
      <c r="N205" s="569"/>
      <c r="O205" s="569"/>
      <c r="P205" s="569"/>
      <c r="Q205" s="569"/>
      <c r="R205" s="569"/>
      <c r="S205" s="569"/>
      <c r="T205" s="569"/>
      <c r="U205" s="569"/>
      <c r="V205" s="569"/>
      <c r="W205" s="569"/>
      <c r="X205" s="569"/>
      <c r="Y205" s="569"/>
      <c r="Z205" s="569"/>
      <c r="AA205" s="569"/>
      <c r="AB205" s="569"/>
      <c r="AC205" s="569"/>
      <c r="AD205" s="569"/>
      <c r="AE205" s="569"/>
      <c r="AF205" s="569"/>
      <c r="AG205" s="569"/>
      <c r="AH205" s="569"/>
      <c r="AI205" s="569"/>
      <c r="AJ205" s="569"/>
      <c r="AK205" s="569"/>
      <c r="AL205" s="569"/>
      <c r="AM205" s="569"/>
      <c r="AN205" s="569"/>
      <c r="AO205" s="569"/>
      <c r="AP205" s="569"/>
      <c r="AQ205" s="569"/>
      <c r="AR205" s="569"/>
      <c r="AS205" s="569"/>
      <c r="AT205" s="569"/>
      <c r="AU205" s="569"/>
      <c r="AV205" s="569"/>
      <c r="AW205" s="569"/>
      <c r="AX205" s="569"/>
      <c r="AY205" s="569"/>
      <c r="AZ205" s="569"/>
      <c r="BA205" s="569"/>
      <c r="BB205" s="569"/>
      <c r="BC205" s="569"/>
      <c r="BD205" s="569"/>
      <c r="BE205" s="569"/>
      <c r="BF205" s="569"/>
      <c r="BG205" s="569"/>
      <c r="BH205" s="569"/>
      <c r="BI205" s="569"/>
      <c r="BJ205" s="569"/>
      <c r="BK205" s="569"/>
      <c r="BL205" s="569"/>
      <c r="BM205" s="569"/>
      <c r="BN205" s="570"/>
    </row>
    <row r="206" spans="2:70" s="181" customFormat="1" ht="16.5" customHeight="1" x14ac:dyDescent="0.2">
      <c r="B206" s="571" t="s">
        <v>103</v>
      </c>
      <c r="C206" s="572"/>
      <c r="D206" s="572"/>
      <c r="E206" s="573"/>
      <c r="F206" s="568" t="s">
        <v>123</v>
      </c>
      <c r="G206" s="569"/>
      <c r="H206" s="569"/>
      <c r="I206" s="569"/>
      <c r="J206" s="569"/>
      <c r="K206" s="569"/>
      <c r="L206" s="569"/>
      <c r="M206" s="569"/>
      <c r="N206" s="569"/>
      <c r="O206" s="569"/>
      <c r="P206" s="569"/>
      <c r="Q206" s="569"/>
      <c r="R206" s="569"/>
      <c r="S206" s="569"/>
      <c r="T206" s="569"/>
      <c r="U206" s="569"/>
      <c r="V206" s="569"/>
      <c r="W206" s="569"/>
      <c r="X206" s="569"/>
      <c r="Y206" s="569"/>
      <c r="Z206" s="569"/>
      <c r="AA206" s="569"/>
      <c r="AB206" s="569"/>
      <c r="AC206" s="569"/>
      <c r="AD206" s="569"/>
      <c r="AE206" s="569"/>
      <c r="AF206" s="569"/>
      <c r="AG206" s="569"/>
      <c r="AH206" s="569"/>
      <c r="AI206" s="569"/>
      <c r="AJ206" s="569"/>
      <c r="AK206" s="569"/>
      <c r="AL206" s="569"/>
      <c r="AM206" s="569"/>
      <c r="AN206" s="569"/>
      <c r="AO206" s="569"/>
      <c r="AP206" s="569"/>
      <c r="AQ206" s="569"/>
      <c r="AR206" s="569"/>
      <c r="AS206" s="569"/>
      <c r="AT206" s="569"/>
      <c r="AU206" s="569"/>
      <c r="AV206" s="569"/>
      <c r="AW206" s="569"/>
      <c r="AX206" s="569"/>
      <c r="AY206" s="569"/>
      <c r="AZ206" s="569"/>
      <c r="BA206" s="569"/>
      <c r="BB206" s="569"/>
      <c r="BC206" s="569"/>
      <c r="BD206" s="569"/>
      <c r="BE206" s="569"/>
      <c r="BF206" s="569"/>
      <c r="BG206" s="569"/>
      <c r="BH206" s="569"/>
      <c r="BI206" s="569"/>
      <c r="BJ206" s="569"/>
      <c r="BK206" s="569"/>
      <c r="BL206" s="569"/>
      <c r="BM206" s="569"/>
      <c r="BN206" s="570"/>
    </row>
    <row r="207" spans="2:70" ht="15.75" customHeight="1" x14ac:dyDescent="0.2">
      <c r="B207" s="88"/>
      <c r="C207" s="413" t="s">
        <v>235</v>
      </c>
      <c r="D207" s="414"/>
      <c r="E207" s="414"/>
      <c r="F207" s="414"/>
      <c r="G207" s="414"/>
      <c r="H207" s="414"/>
      <c r="I207" s="414"/>
      <c r="J207" s="414"/>
      <c r="K207" s="414"/>
      <c r="L207" s="414"/>
      <c r="M207" s="414"/>
      <c r="N207" s="414"/>
      <c r="O207" s="414"/>
      <c r="P207" s="414"/>
      <c r="Q207" s="414"/>
      <c r="R207" s="414"/>
      <c r="S207" s="414"/>
      <c r="T207" s="414"/>
      <c r="U207" s="414"/>
      <c r="V207" s="414"/>
      <c r="W207" s="414"/>
      <c r="X207" s="414"/>
      <c r="Y207" s="414"/>
      <c r="Z207" s="414"/>
      <c r="AA207" s="414"/>
      <c r="AB207" s="414"/>
      <c r="AC207" s="414"/>
      <c r="AD207" s="414"/>
      <c r="AE207" s="414"/>
      <c r="AF207" s="414"/>
      <c r="AG207" s="414"/>
      <c r="AH207" s="414"/>
      <c r="AI207" s="414"/>
      <c r="AJ207" s="414"/>
      <c r="AK207" s="414"/>
      <c r="AL207" s="414"/>
      <c r="AM207" s="414"/>
      <c r="AN207" s="414"/>
      <c r="AO207" s="414"/>
      <c r="AP207" s="414"/>
      <c r="AQ207" s="414"/>
      <c r="AR207" s="414"/>
      <c r="AS207" s="414"/>
      <c r="AT207" s="414"/>
      <c r="AU207" s="414"/>
      <c r="AV207" s="414"/>
      <c r="AW207" s="414"/>
      <c r="AX207" s="414"/>
      <c r="AY207" s="414"/>
      <c r="AZ207" s="414"/>
      <c r="BA207" s="414"/>
      <c r="BB207" s="414"/>
      <c r="BC207" s="414"/>
      <c r="BD207" s="414"/>
      <c r="BE207" s="414"/>
      <c r="BF207" s="414"/>
      <c r="BG207" s="414"/>
      <c r="BH207" s="414"/>
      <c r="BI207" s="414"/>
      <c r="BJ207" s="414"/>
      <c r="BK207" s="414"/>
      <c r="BL207" s="414"/>
      <c r="BM207" s="414"/>
      <c r="BN207" s="415"/>
    </row>
    <row r="208" spans="2:70" ht="49.5" customHeight="1" x14ac:dyDescent="0.2">
      <c r="B208" s="184" t="s">
        <v>139</v>
      </c>
      <c r="C208" s="584" t="s">
        <v>94</v>
      </c>
      <c r="D208" s="585"/>
      <c r="E208" s="586"/>
      <c r="F208" s="185" t="s">
        <v>95</v>
      </c>
      <c r="G208" s="186" t="s">
        <v>4</v>
      </c>
      <c r="H208" s="187" t="s">
        <v>3</v>
      </c>
      <c r="I208" s="188" t="s">
        <v>96</v>
      </c>
      <c r="J208" s="207" t="s">
        <v>494</v>
      </c>
      <c r="K208" s="207" t="s">
        <v>495</v>
      </c>
      <c r="L208" s="207" t="s">
        <v>380</v>
      </c>
      <c r="M208" s="208" t="s">
        <v>381</v>
      </c>
      <c r="N208" s="207" t="s">
        <v>517</v>
      </c>
      <c r="O208" s="207" t="s">
        <v>518</v>
      </c>
      <c r="P208" s="207" t="s">
        <v>490</v>
      </c>
      <c r="Q208" s="208" t="s">
        <v>491</v>
      </c>
      <c r="R208" s="208" t="s">
        <v>492</v>
      </c>
      <c r="S208" s="208" t="s">
        <v>493</v>
      </c>
      <c r="T208" s="208" t="s">
        <v>519</v>
      </c>
      <c r="U208" s="208" t="s">
        <v>523</v>
      </c>
      <c r="V208" s="208" t="s">
        <v>525</v>
      </c>
      <c r="W208" s="208" t="s">
        <v>571</v>
      </c>
      <c r="X208" s="208" t="s">
        <v>538</v>
      </c>
      <c r="Y208" s="208" t="s">
        <v>553</v>
      </c>
      <c r="Z208" s="208" t="s">
        <v>554</v>
      </c>
      <c r="AA208" s="307" t="s">
        <v>581</v>
      </c>
      <c r="AB208" s="208" t="s">
        <v>570</v>
      </c>
      <c r="AC208" s="307" t="s">
        <v>564</v>
      </c>
      <c r="AD208" s="307" t="s">
        <v>582</v>
      </c>
      <c r="AE208" s="309" t="s">
        <v>578</v>
      </c>
      <c r="AF208" s="307" t="s">
        <v>635</v>
      </c>
      <c r="AG208" s="307" t="s">
        <v>590</v>
      </c>
      <c r="AH208" s="307" t="s">
        <v>606</v>
      </c>
      <c r="AI208" s="307" t="s">
        <v>636</v>
      </c>
      <c r="AJ208" s="307" t="s">
        <v>623</v>
      </c>
      <c r="AK208" s="307" t="s">
        <v>628</v>
      </c>
      <c r="AL208" s="307" t="s">
        <v>637</v>
      </c>
      <c r="AM208" s="307" t="s">
        <v>641</v>
      </c>
      <c r="AN208" s="307" t="s">
        <v>643</v>
      </c>
      <c r="AO208" s="307" t="s">
        <v>646</v>
      </c>
      <c r="AP208" s="307" t="s">
        <v>650</v>
      </c>
      <c r="AQ208" s="307" t="s">
        <v>689</v>
      </c>
      <c r="AR208" s="307" t="s">
        <v>697</v>
      </c>
      <c r="AS208" s="307" t="s">
        <v>725</v>
      </c>
      <c r="AT208" s="307" t="s">
        <v>729</v>
      </c>
      <c r="AU208" s="188" t="s">
        <v>150</v>
      </c>
      <c r="AV208" s="1" t="s">
        <v>5</v>
      </c>
      <c r="AW208" s="1" t="s">
        <v>6</v>
      </c>
      <c r="AX208" s="1" t="s">
        <v>7</v>
      </c>
      <c r="AY208" s="1" t="s">
        <v>8</v>
      </c>
      <c r="AZ208" s="34" t="s">
        <v>157</v>
      </c>
      <c r="BA208" s="2" t="s">
        <v>9</v>
      </c>
      <c r="BB208" s="2" t="s">
        <v>10</v>
      </c>
      <c r="BC208" s="2" t="s">
        <v>11</v>
      </c>
      <c r="BD208" s="2" t="s">
        <v>12</v>
      </c>
      <c r="BE208" s="34" t="s">
        <v>158</v>
      </c>
      <c r="BF208" s="2" t="s">
        <v>13</v>
      </c>
      <c r="BG208" s="2" t="s">
        <v>14</v>
      </c>
      <c r="BH208" s="2" t="s">
        <v>15</v>
      </c>
      <c r="BI208" s="2" t="s">
        <v>16</v>
      </c>
      <c r="BJ208" s="34" t="s">
        <v>159</v>
      </c>
      <c r="BK208" s="189" t="s">
        <v>97</v>
      </c>
      <c r="BL208" s="189" t="s">
        <v>98</v>
      </c>
      <c r="BM208" s="190" t="s">
        <v>236</v>
      </c>
      <c r="BN208" s="189" t="s">
        <v>99</v>
      </c>
    </row>
    <row r="209" spans="2:66" ht="25.5" customHeight="1" x14ac:dyDescent="0.2">
      <c r="B209" s="48"/>
      <c r="C209" s="378" t="s">
        <v>123</v>
      </c>
      <c r="D209" s="379"/>
      <c r="E209" s="380"/>
      <c r="F209" s="73" t="s">
        <v>123</v>
      </c>
      <c r="G209" s="35"/>
      <c r="H209" s="22" t="s">
        <v>25</v>
      </c>
      <c r="I209" s="5">
        <f>SUM(I210:I223)</f>
        <v>99</v>
      </c>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8" t="s">
        <v>622</v>
      </c>
      <c r="AJ209" s="8" t="s">
        <v>620</v>
      </c>
      <c r="AK209" s="8"/>
      <c r="AL209" s="8"/>
      <c r="AM209" s="8"/>
      <c r="AN209" s="8"/>
      <c r="AO209" s="8"/>
      <c r="AP209" s="8"/>
      <c r="AQ209" s="8"/>
      <c r="AR209" s="8"/>
      <c r="AS209" s="8"/>
      <c r="AT209" s="8"/>
      <c r="AU209" s="260">
        <v>110</v>
      </c>
      <c r="AV209" s="5">
        <f>SUM(AV210:AV223)</f>
        <v>9</v>
      </c>
      <c r="AW209" s="112">
        <f>SUM(AW210:AW223)</f>
        <v>6</v>
      </c>
      <c r="AX209" s="5">
        <v>17</v>
      </c>
      <c r="AY209" s="5">
        <v>12</v>
      </c>
      <c r="AZ209" s="115">
        <f>SUM(AV209:AY209)</f>
        <v>44</v>
      </c>
      <c r="BA209" s="5">
        <v>14</v>
      </c>
      <c r="BB209" s="112" t="s">
        <v>536</v>
      </c>
      <c r="BC209" s="112" t="s">
        <v>474</v>
      </c>
      <c r="BD209" s="5">
        <v>14</v>
      </c>
      <c r="BE209" s="7">
        <f>14+11+10+14</f>
        <v>49</v>
      </c>
      <c r="BF209" s="112" t="s">
        <v>608</v>
      </c>
      <c r="BG209" s="112" t="s">
        <v>476</v>
      </c>
      <c r="BH209" s="112"/>
      <c r="BI209" s="5"/>
      <c r="BJ209" s="108" t="s">
        <v>600</v>
      </c>
      <c r="BK209" s="115">
        <v>109</v>
      </c>
      <c r="BL209" s="41">
        <f>SUM(BK209/AU209)</f>
        <v>0.99090909090909096</v>
      </c>
      <c r="BM209" s="3">
        <v>3382008</v>
      </c>
      <c r="BN209" s="258" t="s">
        <v>668</v>
      </c>
    </row>
    <row r="210" spans="2:66" ht="45" customHeight="1" outlineLevel="1" x14ac:dyDescent="0.2">
      <c r="B210" s="48"/>
      <c r="C210" s="163"/>
      <c r="D210" s="164"/>
      <c r="E210" s="165"/>
      <c r="F210" s="19"/>
      <c r="G210" s="40" t="s">
        <v>167</v>
      </c>
      <c r="H210" s="74" t="s">
        <v>25</v>
      </c>
      <c r="I210" s="8">
        <v>13</v>
      </c>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t="s">
        <v>620</v>
      </c>
      <c r="AJ210" s="8"/>
      <c r="AK210" s="8"/>
      <c r="AL210" s="8"/>
      <c r="AM210" s="8"/>
      <c r="AN210" s="8"/>
      <c r="AO210" s="8"/>
      <c r="AP210" s="8"/>
      <c r="AQ210" s="8"/>
      <c r="AR210" s="8"/>
      <c r="AS210" s="8"/>
      <c r="AT210" s="8"/>
      <c r="AU210" s="253">
        <v>3</v>
      </c>
      <c r="AV210" s="111" t="s">
        <v>211</v>
      </c>
      <c r="AW210" s="8">
        <v>1</v>
      </c>
      <c r="AX210" s="8">
        <v>1</v>
      </c>
      <c r="AY210" s="8">
        <v>1</v>
      </c>
      <c r="AZ210" s="111" t="s">
        <v>364</v>
      </c>
      <c r="BA210" s="8" t="s">
        <v>211</v>
      </c>
      <c r="BB210" s="111" t="s">
        <v>211</v>
      </c>
      <c r="BC210" s="8" t="s">
        <v>211</v>
      </c>
      <c r="BD210" s="111" t="s">
        <v>211</v>
      </c>
      <c r="BE210" s="6" t="s">
        <v>211</v>
      </c>
      <c r="BF210" s="111" t="s">
        <v>211</v>
      </c>
      <c r="BG210" s="111" t="s">
        <v>211</v>
      </c>
      <c r="BH210" s="111"/>
      <c r="BI210" s="8"/>
      <c r="BJ210" s="111" t="s">
        <v>211</v>
      </c>
      <c r="BK210" s="111">
        <f t="shared" ref="BK210:BK212" si="46">+BJ210+BE210+AZ210</f>
        <v>3</v>
      </c>
      <c r="BL210" s="312">
        <f>SUM(BK210/AU210)</f>
        <v>1</v>
      </c>
      <c r="BM210" s="3"/>
      <c r="BN210" s="3"/>
    </row>
    <row r="211" spans="2:66" ht="45" customHeight="1" outlineLevel="1" x14ac:dyDescent="0.2">
      <c r="B211" s="48"/>
      <c r="C211" s="595"/>
      <c r="D211" s="381"/>
      <c r="E211" s="381"/>
      <c r="F211" s="155"/>
      <c r="G211" s="40" t="s">
        <v>207</v>
      </c>
      <c r="H211" s="74" t="s">
        <v>25</v>
      </c>
      <c r="I211" s="8">
        <v>13</v>
      </c>
      <c r="J211" s="8"/>
      <c r="K211" s="8"/>
      <c r="L211" s="8"/>
      <c r="M211" s="8" t="s">
        <v>427</v>
      </c>
      <c r="N211" s="8"/>
      <c r="O211" s="8"/>
      <c r="P211" s="8" t="s">
        <v>420</v>
      </c>
      <c r="Q211" s="8"/>
      <c r="R211" s="8"/>
      <c r="S211" s="8"/>
      <c r="T211" s="8"/>
      <c r="U211" s="8"/>
      <c r="V211" s="8"/>
      <c r="W211" s="8"/>
      <c r="X211" s="8"/>
      <c r="Y211" s="8"/>
      <c r="Z211" s="8"/>
      <c r="AA211" s="8"/>
      <c r="AB211" s="8"/>
      <c r="AC211" s="8"/>
      <c r="AD211" s="8"/>
      <c r="AE211" s="8"/>
      <c r="AF211" s="8"/>
      <c r="AG211" s="8"/>
      <c r="AH211" s="8"/>
      <c r="AI211" s="8" t="s">
        <v>430</v>
      </c>
      <c r="AJ211" s="8" t="s">
        <v>429</v>
      </c>
      <c r="AK211" s="8"/>
      <c r="AL211" s="8"/>
      <c r="AM211" s="8"/>
      <c r="AN211" s="8"/>
      <c r="AO211" s="8"/>
      <c r="AP211" s="8"/>
      <c r="AQ211" s="8"/>
      <c r="AR211" s="8"/>
      <c r="AS211" s="8"/>
      <c r="AT211" s="8"/>
      <c r="AU211" s="253">
        <v>13</v>
      </c>
      <c r="AV211" s="111" t="s">
        <v>211</v>
      </c>
      <c r="AW211" s="8">
        <v>2</v>
      </c>
      <c r="AX211" s="8">
        <v>2</v>
      </c>
      <c r="AY211" s="111" t="s">
        <v>211</v>
      </c>
      <c r="AZ211" s="111" t="s">
        <v>476</v>
      </c>
      <c r="BA211" s="8">
        <v>1</v>
      </c>
      <c r="BB211" s="8">
        <v>4</v>
      </c>
      <c r="BC211" s="111">
        <v>2</v>
      </c>
      <c r="BD211" s="8">
        <v>1</v>
      </c>
      <c r="BE211" s="6">
        <f t="shared" ref="BE211:BE224" si="47">SUM(BA211+BB211+BC211+BD211)</f>
        <v>8</v>
      </c>
      <c r="BF211" s="8">
        <v>2</v>
      </c>
      <c r="BG211" s="111" t="s">
        <v>211</v>
      </c>
      <c r="BH211" s="111"/>
      <c r="BI211" s="8"/>
      <c r="BJ211" s="6">
        <f>SUM(BF211:BI211)</f>
        <v>2</v>
      </c>
      <c r="BK211" s="111" t="s">
        <v>719</v>
      </c>
      <c r="BL211" s="284">
        <f>SUM(BK211/AU211)</f>
        <v>1</v>
      </c>
      <c r="BM211" s="49"/>
      <c r="BN211" s="3"/>
    </row>
    <row r="212" spans="2:66" ht="52.5" customHeight="1" outlineLevel="1" x14ac:dyDescent="0.2">
      <c r="B212" s="48"/>
      <c r="C212" s="381"/>
      <c r="D212" s="381"/>
      <c r="E212" s="381"/>
      <c r="F212" s="155"/>
      <c r="G212" s="40" t="s">
        <v>341</v>
      </c>
      <c r="H212" s="74" t="s">
        <v>25</v>
      </c>
      <c r="I212" s="8">
        <v>3</v>
      </c>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t="s">
        <v>429</v>
      </c>
      <c r="AJ212" s="8"/>
      <c r="AK212" s="8"/>
      <c r="AL212" s="8"/>
      <c r="AM212" s="8"/>
      <c r="AN212" s="8"/>
      <c r="AO212" s="8"/>
      <c r="AP212" s="8"/>
      <c r="AQ212" s="8"/>
      <c r="AR212" s="8"/>
      <c r="AS212" s="8"/>
      <c r="AT212" s="8"/>
      <c r="AU212" s="346">
        <v>1</v>
      </c>
      <c r="AV212" s="111" t="s">
        <v>211</v>
      </c>
      <c r="AW212" s="111" t="s">
        <v>211</v>
      </c>
      <c r="AX212" s="111" t="s">
        <v>211</v>
      </c>
      <c r="AY212" s="111" t="s">
        <v>211</v>
      </c>
      <c r="AZ212" s="111" t="s">
        <v>211</v>
      </c>
      <c r="BA212" s="111" t="s">
        <v>362</v>
      </c>
      <c r="BB212" s="111" t="s">
        <v>211</v>
      </c>
      <c r="BC212" s="111" t="s">
        <v>211</v>
      </c>
      <c r="BD212" s="111" t="s">
        <v>211</v>
      </c>
      <c r="BE212" s="6">
        <f t="shared" si="47"/>
        <v>1</v>
      </c>
      <c r="BF212" s="111" t="s">
        <v>211</v>
      </c>
      <c r="BG212" s="111" t="s">
        <v>211</v>
      </c>
      <c r="BH212" s="111"/>
      <c r="BI212" s="111"/>
      <c r="BJ212" s="111" t="s">
        <v>211</v>
      </c>
      <c r="BK212" s="111">
        <f t="shared" si="46"/>
        <v>1</v>
      </c>
      <c r="BL212" s="312">
        <f>SUM(BK212/AU212)</f>
        <v>1</v>
      </c>
      <c r="BM212" s="36"/>
      <c r="BN212" s="36"/>
    </row>
    <row r="213" spans="2:66" ht="60" customHeight="1" outlineLevel="1" x14ac:dyDescent="0.2">
      <c r="B213" s="48"/>
      <c r="C213" s="381"/>
      <c r="D213" s="381"/>
      <c r="E213" s="381"/>
      <c r="F213" s="155"/>
      <c r="G213" s="40" t="s">
        <v>342</v>
      </c>
      <c r="H213" s="74" t="s">
        <v>25</v>
      </c>
      <c r="I213" s="8">
        <v>3</v>
      </c>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t="s">
        <v>430</v>
      </c>
      <c r="AJ213" s="8" t="s">
        <v>429</v>
      </c>
      <c r="AK213" s="8"/>
      <c r="AL213" s="8"/>
      <c r="AM213" s="8"/>
      <c r="AN213" s="8"/>
      <c r="AO213" s="8"/>
      <c r="AP213" s="8"/>
      <c r="AQ213" s="8"/>
      <c r="AR213" s="8"/>
      <c r="AS213" s="8"/>
      <c r="AT213" s="8"/>
      <c r="AU213" s="377" t="s">
        <v>211</v>
      </c>
      <c r="AV213" s="111" t="s">
        <v>211</v>
      </c>
      <c r="AW213" s="111" t="s">
        <v>211</v>
      </c>
      <c r="AX213" s="111" t="s">
        <v>211</v>
      </c>
      <c r="AY213" s="111" t="s">
        <v>211</v>
      </c>
      <c r="AZ213" s="111" t="s">
        <v>211</v>
      </c>
      <c r="BA213" s="111" t="s">
        <v>211</v>
      </c>
      <c r="BB213" s="111" t="s">
        <v>211</v>
      </c>
      <c r="BC213" s="111" t="s">
        <v>211</v>
      </c>
      <c r="BD213" s="111" t="s">
        <v>211</v>
      </c>
      <c r="BE213" s="111" t="s">
        <v>211</v>
      </c>
      <c r="BF213" s="111" t="s">
        <v>211</v>
      </c>
      <c r="BG213" s="111" t="s">
        <v>211</v>
      </c>
      <c r="BH213" s="111"/>
      <c r="BI213" s="111"/>
      <c r="BJ213" s="111" t="s">
        <v>211</v>
      </c>
      <c r="BK213" s="111" t="s">
        <v>211</v>
      </c>
      <c r="BL213" s="111" t="s">
        <v>211</v>
      </c>
      <c r="BM213" s="36"/>
      <c r="BN213" s="40"/>
    </row>
    <row r="214" spans="2:66" ht="63" customHeight="1" outlineLevel="1" x14ac:dyDescent="0.2">
      <c r="B214" s="48"/>
      <c r="C214" s="381"/>
      <c r="D214" s="381"/>
      <c r="E214" s="381"/>
      <c r="F214" s="155"/>
      <c r="G214" s="40" t="s">
        <v>343</v>
      </c>
      <c r="H214" s="74" t="s">
        <v>25</v>
      </c>
      <c r="I214" s="8">
        <v>3</v>
      </c>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t="s">
        <v>430</v>
      </c>
      <c r="AJ214" s="8" t="s">
        <v>429</v>
      </c>
      <c r="AK214" s="8"/>
      <c r="AL214" s="8"/>
      <c r="AM214" s="8"/>
      <c r="AN214" s="8"/>
      <c r="AO214" s="8"/>
      <c r="AP214" s="8"/>
      <c r="AQ214" s="8"/>
      <c r="AR214" s="8"/>
      <c r="AS214" s="8"/>
      <c r="AT214" s="8"/>
      <c r="AU214" s="377" t="s">
        <v>211</v>
      </c>
      <c r="AV214" s="111" t="s">
        <v>211</v>
      </c>
      <c r="AW214" s="111" t="s">
        <v>211</v>
      </c>
      <c r="AX214" s="111" t="s">
        <v>211</v>
      </c>
      <c r="AY214" s="111" t="s">
        <v>211</v>
      </c>
      <c r="AZ214" s="111" t="s">
        <v>211</v>
      </c>
      <c r="BA214" s="8" t="s">
        <v>211</v>
      </c>
      <c r="BB214" s="111" t="s">
        <v>211</v>
      </c>
      <c r="BC214" s="111" t="s">
        <v>211</v>
      </c>
      <c r="BD214" s="111" t="s">
        <v>211</v>
      </c>
      <c r="BE214" s="111" t="s">
        <v>211</v>
      </c>
      <c r="BF214" s="111" t="s">
        <v>211</v>
      </c>
      <c r="BG214" s="111" t="s">
        <v>211</v>
      </c>
      <c r="BH214" s="111"/>
      <c r="BI214" s="111"/>
      <c r="BJ214" s="111" t="s">
        <v>211</v>
      </c>
      <c r="BK214" s="111" t="s">
        <v>211</v>
      </c>
      <c r="BL214" s="111" t="s">
        <v>211</v>
      </c>
      <c r="BM214" s="200"/>
      <c r="BN214" s="200"/>
    </row>
    <row r="215" spans="2:66" ht="70.5" customHeight="1" outlineLevel="1" x14ac:dyDescent="0.2">
      <c r="B215" s="48"/>
      <c r="C215" s="157"/>
      <c r="D215" s="158"/>
      <c r="E215" s="159"/>
      <c r="F215" s="155"/>
      <c r="G215" s="40" t="s">
        <v>344</v>
      </c>
      <c r="H215" s="74" t="s">
        <v>25</v>
      </c>
      <c r="I215" s="8">
        <v>12</v>
      </c>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t="s">
        <v>470</v>
      </c>
      <c r="AJ215" s="8" t="s">
        <v>626</v>
      </c>
      <c r="AK215" s="8"/>
      <c r="AL215" s="8"/>
      <c r="AM215" s="8"/>
      <c r="AN215" s="8"/>
      <c r="AO215" s="8"/>
      <c r="AP215" s="8"/>
      <c r="AQ215" s="8"/>
      <c r="AR215" s="8"/>
      <c r="AS215" s="8"/>
      <c r="AT215" s="8"/>
      <c r="AU215" s="346">
        <v>2</v>
      </c>
      <c r="AV215" s="111" t="s">
        <v>211</v>
      </c>
      <c r="AW215" s="8">
        <v>1</v>
      </c>
      <c r="AX215" s="111" t="s">
        <v>211</v>
      </c>
      <c r="AY215" s="111" t="s">
        <v>211</v>
      </c>
      <c r="AZ215" s="111" t="s">
        <v>362</v>
      </c>
      <c r="BA215" s="8">
        <v>1</v>
      </c>
      <c r="BB215" s="111" t="s">
        <v>211</v>
      </c>
      <c r="BC215" s="8" t="s">
        <v>211</v>
      </c>
      <c r="BD215" s="111" t="s">
        <v>211</v>
      </c>
      <c r="BE215" s="6">
        <f t="shared" si="47"/>
        <v>1</v>
      </c>
      <c r="BF215" s="111" t="s">
        <v>211</v>
      </c>
      <c r="BG215" s="111" t="s">
        <v>211</v>
      </c>
      <c r="BH215" s="111"/>
      <c r="BI215" s="111"/>
      <c r="BJ215" s="111" t="s">
        <v>211</v>
      </c>
      <c r="BK215" s="111">
        <f t="shared" ref="BK215:BK217" si="48">+BJ215+BE215+AZ215</f>
        <v>2</v>
      </c>
      <c r="BL215" s="312">
        <f t="shared" ref="BL215:BL224" si="49">SUM(BK215/AU215)</f>
        <v>1</v>
      </c>
      <c r="BM215" s="200"/>
      <c r="BN215" s="200"/>
    </row>
    <row r="216" spans="2:66" ht="41.25" customHeight="1" outlineLevel="1" x14ac:dyDescent="0.2">
      <c r="B216" s="48"/>
      <c r="C216" s="157"/>
      <c r="D216" s="158"/>
      <c r="E216" s="159"/>
      <c r="F216" s="155"/>
      <c r="G216" s="40" t="s">
        <v>345</v>
      </c>
      <c r="H216" s="74" t="s">
        <v>27</v>
      </c>
      <c r="I216" s="8">
        <v>1</v>
      </c>
      <c r="J216" s="8"/>
      <c r="K216" s="8"/>
      <c r="L216" s="8"/>
      <c r="M216" s="8" t="s">
        <v>420</v>
      </c>
      <c r="N216" s="8"/>
      <c r="O216" s="8"/>
      <c r="P216" s="8"/>
      <c r="Q216" s="8"/>
      <c r="R216" s="8"/>
      <c r="S216" s="8"/>
      <c r="T216" s="8"/>
      <c r="U216" s="8"/>
      <c r="V216" s="8"/>
      <c r="W216" s="8"/>
      <c r="X216" s="8"/>
      <c r="Y216" s="8"/>
      <c r="Z216" s="8"/>
      <c r="AA216" s="8"/>
      <c r="AB216" s="8"/>
      <c r="AC216" s="8"/>
      <c r="AD216" s="8"/>
      <c r="AE216" s="8"/>
      <c r="AF216" s="8" t="s">
        <v>430</v>
      </c>
      <c r="AG216" s="8"/>
      <c r="AH216" s="8"/>
      <c r="AI216" s="8"/>
      <c r="AJ216" s="8"/>
      <c r="AK216" s="8"/>
      <c r="AL216" s="8"/>
      <c r="AM216" s="8"/>
      <c r="AN216" s="8"/>
      <c r="AO216" s="8"/>
      <c r="AP216" s="8"/>
      <c r="AQ216" s="8"/>
      <c r="AR216" s="8"/>
      <c r="AS216" s="8"/>
      <c r="AT216" s="8"/>
      <c r="AU216" s="253">
        <v>1</v>
      </c>
      <c r="AV216" s="111" t="s">
        <v>211</v>
      </c>
      <c r="AW216" s="111" t="s">
        <v>211</v>
      </c>
      <c r="AX216" s="111" t="s">
        <v>211</v>
      </c>
      <c r="AY216" s="111" t="s">
        <v>211</v>
      </c>
      <c r="AZ216" s="111" t="s">
        <v>211</v>
      </c>
      <c r="BA216" s="8" t="s">
        <v>211</v>
      </c>
      <c r="BB216" s="111" t="s">
        <v>211</v>
      </c>
      <c r="BC216" s="111">
        <v>1</v>
      </c>
      <c r="BD216" s="111" t="s">
        <v>211</v>
      </c>
      <c r="BE216" s="6">
        <f t="shared" si="47"/>
        <v>1</v>
      </c>
      <c r="BF216" s="111" t="s">
        <v>362</v>
      </c>
      <c r="BG216" s="111" t="s">
        <v>211</v>
      </c>
      <c r="BH216" s="111"/>
      <c r="BI216" s="111"/>
      <c r="BJ216" s="111" t="s">
        <v>362</v>
      </c>
      <c r="BK216" s="111" t="s">
        <v>362</v>
      </c>
      <c r="BL216" s="312">
        <f t="shared" si="49"/>
        <v>1</v>
      </c>
      <c r="BM216" s="200"/>
      <c r="BN216" s="200"/>
    </row>
    <row r="217" spans="2:66" ht="40.5" customHeight="1" outlineLevel="1" x14ac:dyDescent="0.2">
      <c r="B217" s="48"/>
      <c r="C217" s="157"/>
      <c r="D217" s="158"/>
      <c r="E217" s="159"/>
      <c r="F217" s="155"/>
      <c r="G217" s="40" t="s">
        <v>346</v>
      </c>
      <c r="H217" s="74" t="s">
        <v>25</v>
      </c>
      <c r="I217" s="8">
        <v>12</v>
      </c>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v>12</v>
      </c>
      <c r="AV217" s="8">
        <v>1</v>
      </c>
      <c r="AW217" s="8">
        <v>1</v>
      </c>
      <c r="AX217" s="111" t="s">
        <v>362</v>
      </c>
      <c r="AY217" s="111" t="s">
        <v>362</v>
      </c>
      <c r="AZ217" s="6">
        <v>4</v>
      </c>
      <c r="BA217" s="8" t="s">
        <v>362</v>
      </c>
      <c r="BB217" s="111" t="s">
        <v>362</v>
      </c>
      <c r="BC217" s="8" t="s">
        <v>362</v>
      </c>
      <c r="BD217" s="111" t="s">
        <v>362</v>
      </c>
      <c r="BE217" s="6">
        <f t="shared" si="47"/>
        <v>4</v>
      </c>
      <c r="BF217" s="8">
        <v>1</v>
      </c>
      <c r="BG217" s="8">
        <v>1</v>
      </c>
      <c r="BH217" s="8"/>
      <c r="BI217" s="8"/>
      <c r="BJ217" s="6">
        <f>SUM(BF217:BI217)</f>
        <v>2</v>
      </c>
      <c r="BK217" s="6">
        <f t="shared" si="48"/>
        <v>10</v>
      </c>
      <c r="BL217" s="68">
        <f t="shared" si="49"/>
        <v>0.83333333333333337</v>
      </c>
      <c r="BM217" s="200"/>
      <c r="BN217" s="200"/>
    </row>
    <row r="218" spans="2:66" ht="24" customHeight="1" outlineLevel="1" x14ac:dyDescent="0.2">
      <c r="B218" s="48"/>
      <c r="C218" s="157"/>
      <c r="D218" s="158"/>
      <c r="E218" s="159"/>
      <c r="F218" s="155"/>
      <c r="G218" s="40" t="s">
        <v>168</v>
      </c>
      <c r="H218" s="74" t="s">
        <v>25</v>
      </c>
      <c r="I218" s="8">
        <v>3</v>
      </c>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v>3</v>
      </c>
      <c r="AV218" s="111" t="s">
        <v>211</v>
      </c>
      <c r="AW218" s="111" t="s">
        <v>211</v>
      </c>
      <c r="AX218" s="111" t="s">
        <v>211</v>
      </c>
      <c r="AY218" s="8">
        <v>1</v>
      </c>
      <c r="AZ218" s="111" t="s">
        <v>362</v>
      </c>
      <c r="BA218" s="111" t="s">
        <v>211</v>
      </c>
      <c r="BB218" s="8" t="s">
        <v>211</v>
      </c>
      <c r="BC218" s="111" t="s">
        <v>211</v>
      </c>
      <c r="BD218" s="8">
        <v>1</v>
      </c>
      <c r="BE218" s="8">
        <v>1</v>
      </c>
      <c r="BF218" s="111" t="s">
        <v>211</v>
      </c>
      <c r="BG218" s="111" t="s">
        <v>211</v>
      </c>
      <c r="BH218" s="111"/>
      <c r="BI218" s="8"/>
      <c r="BJ218" s="111" t="s">
        <v>211</v>
      </c>
      <c r="BK218" s="111" t="s">
        <v>360</v>
      </c>
      <c r="BL218" s="68">
        <f t="shared" si="49"/>
        <v>0.66666666666666663</v>
      </c>
      <c r="BM218" s="200"/>
      <c r="BN218" s="200"/>
    </row>
    <row r="219" spans="2:66" ht="27" customHeight="1" outlineLevel="1" x14ac:dyDescent="0.2">
      <c r="B219" s="48"/>
      <c r="C219" s="157"/>
      <c r="D219" s="158"/>
      <c r="E219" s="159"/>
      <c r="F219" s="155"/>
      <c r="G219" s="40" t="s">
        <v>169</v>
      </c>
      <c r="H219" s="74" t="s">
        <v>25</v>
      </c>
      <c r="I219" s="8">
        <v>1</v>
      </c>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v>1</v>
      </c>
      <c r="AV219" s="111" t="s">
        <v>211</v>
      </c>
      <c r="AW219" s="8">
        <v>1</v>
      </c>
      <c r="AX219" s="111" t="s">
        <v>211</v>
      </c>
      <c r="AY219" s="111" t="s">
        <v>211</v>
      </c>
      <c r="AZ219" s="111" t="s">
        <v>362</v>
      </c>
      <c r="BA219" s="111" t="s">
        <v>211</v>
      </c>
      <c r="BB219" s="111" t="s">
        <v>211</v>
      </c>
      <c r="BC219" s="111" t="s">
        <v>211</v>
      </c>
      <c r="BD219" s="111" t="s">
        <v>211</v>
      </c>
      <c r="BE219" s="111" t="s">
        <v>211</v>
      </c>
      <c r="BF219" s="111" t="s">
        <v>211</v>
      </c>
      <c r="BG219" s="111" t="s">
        <v>211</v>
      </c>
      <c r="BH219" s="111"/>
      <c r="BI219" s="111"/>
      <c r="BJ219" s="111" t="s">
        <v>211</v>
      </c>
      <c r="BK219" s="111">
        <f t="shared" ref="BK219:BK224" si="50">+BJ219+BE219+AZ219</f>
        <v>1</v>
      </c>
      <c r="BL219" s="284">
        <f t="shared" si="49"/>
        <v>1</v>
      </c>
      <c r="BM219" s="200"/>
      <c r="BN219" s="200"/>
    </row>
    <row r="220" spans="2:66" ht="30" customHeight="1" outlineLevel="1" x14ac:dyDescent="0.2">
      <c r="B220" s="48"/>
      <c r="C220" s="157"/>
      <c r="D220" s="158"/>
      <c r="E220" s="159"/>
      <c r="F220" s="155"/>
      <c r="G220" s="40" t="s">
        <v>170</v>
      </c>
      <c r="H220" s="74" t="s">
        <v>25</v>
      </c>
      <c r="I220" s="8">
        <v>28</v>
      </c>
      <c r="J220" s="8"/>
      <c r="K220" s="8"/>
      <c r="L220" s="8"/>
      <c r="M220" s="8" t="s">
        <v>469</v>
      </c>
      <c r="N220" s="8"/>
      <c r="O220" s="8"/>
      <c r="P220" s="8"/>
      <c r="Q220" s="8"/>
      <c r="R220" s="8"/>
      <c r="S220" s="8"/>
      <c r="T220" s="8"/>
      <c r="U220" s="8"/>
      <c r="V220" s="8"/>
      <c r="W220" s="8"/>
      <c r="X220" s="8"/>
      <c r="Y220" s="8"/>
      <c r="Z220" s="8"/>
      <c r="AA220" s="8"/>
      <c r="AB220" s="8"/>
      <c r="AC220" s="8"/>
      <c r="AD220" s="8"/>
      <c r="AE220" s="8"/>
      <c r="AF220" s="8"/>
      <c r="AG220" s="8" t="s">
        <v>589</v>
      </c>
      <c r="AH220" s="8"/>
      <c r="AI220" s="344" t="s">
        <v>621</v>
      </c>
      <c r="AJ220" s="344"/>
      <c r="AK220" s="344"/>
      <c r="AL220" s="344"/>
      <c r="AM220" s="344"/>
      <c r="AN220" s="344"/>
      <c r="AO220" s="344"/>
      <c r="AP220" s="344"/>
      <c r="AQ220" s="344" t="s">
        <v>420</v>
      </c>
      <c r="AR220" s="344"/>
      <c r="AS220" s="344"/>
      <c r="AT220" s="344"/>
      <c r="AU220" s="253">
        <v>45</v>
      </c>
      <c r="AV220" s="8">
        <v>8</v>
      </c>
      <c r="AW220" s="111" t="s">
        <v>211</v>
      </c>
      <c r="AX220" s="111" t="s">
        <v>476</v>
      </c>
      <c r="AY220" s="111" t="s">
        <v>476</v>
      </c>
      <c r="AZ220" s="6">
        <v>16</v>
      </c>
      <c r="BA220" s="8">
        <v>6</v>
      </c>
      <c r="BB220" s="111" t="s">
        <v>372</v>
      </c>
      <c r="BC220" s="8">
        <v>4</v>
      </c>
      <c r="BD220" s="111" t="s">
        <v>510</v>
      </c>
      <c r="BE220" s="6">
        <f t="shared" si="47"/>
        <v>23</v>
      </c>
      <c r="BF220" s="8">
        <v>5</v>
      </c>
      <c r="BG220" s="111" t="s">
        <v>211</v>
      </c>
      <c r="BH220" s="8"/>
      <c r="BI220" s="8"/>
      <c r="BJ220" s="6">
        <v>14</v>
      </c>
      <c r="BK220" s="6">
        <v>45</v>
      </c>
      <c r="BL220" s="284">
        <f t="shared" si="49"/>
        <v>1</v>
      </c>
      <c r="BM220" s="200"/>
      <c r="BN220" s="200"/>
    </row>
    <row r="221" spans="2:66" ht="41.25" customHeight="1" outlineLevel="1" x14ac:dyDescent="0.2">
      <c r="B221" s="48"/>
      <c r="C221" s="157"/>
      <c r="D221" s="158"/>
      <c r="E221" s="159"/>
      <c r="F221" s="155"/>
      <c r="G221" s="321" t="s">
        <v>373</v>
      </c>
      <c r="H221" s="74" t="s">
        <v>25</v>
      </c>
      <c r="I221" s="8">
        <v>1</v>
      </c>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v>1</v>
      </c>
      <c r="AV221" s="111" t="s">
        <v>211</v>
      </c>
      <c r="AW221" s="111" t="s">
        <v>211</v>
      </c>
      <c r="AX221" s="111" t="s">
        <v>211</v>
      </c>
      <c r="AY221" s="8" t="s">
        <v>211</v>
      </c>
      <c r="AZ221" s="111" t="s">
        <v>362</v>
      </c>
      <c r="BA221" s="111" t="s">
        <v>211</v>
      </c>
      <c r="BB221" s="111" t="s">
        <v>211</v>
      </c>
      <c r="BC221" s="111" t="s">
        <v>211</v>
      </c>
      <c r="BD221" s="111" t="s">
        <v>211</v>
      </c>
      <c r="BE221" s="111" t="s">
        <v>211</v>
      </c>
      <c r="BF221" s="111" t="s">
        <v>211</v>
      </c>
      <c r="BG221" s="111" t="s">
        <v>211</v>
      </c>
      <c r="BH221" s="111"/>
      <c r="BI221" s="111"/>
      <c r="BJ221" s="111" t="s">
        <v>211</v>
      </c>
      <c r="BK221" s="111">
        <f t="shared" si="50"/>
        <v>1</v>
      </c>
      <c r="BL221" s="284">
        <f t="shared" si="49"/>
        <v>1</v>
      </c>
      <c r="BM221" s="200"/>
      <c r="BN221" s="200"/>
    </row>
    <row r="222" spans="2:66" ht="42.75" customHeight="1" outlineLevel="1" x14ac:dyDescent="0.2">
      <c r="B222" s="48"/>
      <c r="C222" s="157"/>
      <c r="D222" s="158"/>
      <c r="E222" s="159"/>
      <c r="F222" s="155"/>
      <c r="G222" s="40" t="s">
        <v>347</v>
      </c>
      <c r="H222" s="74" t="s">
        <v>25</v>
      </c>
      <c r="I222" s="8">
        <v>3</v>
      </c>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v>3</v>
      </c>
      <c r="AV222" s="111" t="s">
        <v>211</v>
      </c>
      <c r="AW222" s="111" t="s">
        <v>211</v>
      </c>
      <c r="AX222" s="111" t="s">
        <v>211</v>
      </c>
      <c r="AY222" s="111" t="s">
        <v>364</v>
      </c>
      <c r="AZ222" s="111" t="s">
        <v>364</v>
      </c>
      <c r="BA222" s="111" t="s">
        <v>211</v>
      </c>
      <c r="BB222" s="111" t="s">
        <v>211</v>
      </c>
      <c r="BC222" s="111" t="s">
        <v>211</v>
      </c>
      <c r="BD222" s="111" t="s">
        <v>211</v>
      </c>
      <c r="BE222" s="111" t="s">
        <v>211</v>
      </c>
      <c r="BF222" s="111" t="s">
        <v>211</v>
      </c>
      <c r="BG222" s="111" t="s">
        <v>211</v>
      </c>
      <c r="BH222" s="111"/>
      <c r="BI222" s="111"/>
      <c r="BJ222" s="111" t="s">
        <v>211</v>
      </c>
      <c r="BK222" s="111">
        <f t="shared" si="50"/>
        <v>3</v>
      </c>
      <c r="BL222" s="284">
        <f t="shared" si="49"/>
        <v>1</v>
      </c>
      <c r="BM222" s="200"/>
      <c r="BN222" s="200"/>
    </row>
    <row r="223" spans="2:66" ht="54" customHeight="1" outlineLevel="1" x14ac:dyDescent="0.2">
      <c r="B223" s="48"/>
      <c r="C223" s="157"/>
      <c r="D223" s="158"/>
      <c r="E223" s="159"/>
      <c r="F223" s="155"/>
      <c r="G223" s="40" t="s">
        <v>348</v>
      </c>
      <c r="H223" s="74" t="s">
        <v>28</v>
      </c>
      <c r="I223" s="8">
        <v>3</v>
      </c>
      <c r="J223" s="8"/>
      <c r="K223" s="8"/>
      <c r="L223" s="8"/>
      <c r="M223" s="8" t="s">
        <v>468</v>
      </c>
      <c r="N223" s="8"/>
      <c r="O223" s="8"/>
      <c r="P223" s="8"/>
      <c r="Q223" s="8"/>
      <c r="R223" s="8"/>
      <c r="S223" s="8"/>
      <c r="T223" s="8"/>
      <c r="U223" s="8"/>
      <c r="V223" s="8"/>
      <c r="W223" s="8"/>
      <c r="X223" s="8"/>
      <c r="Y223" s="8"/>
      <c r="Z223" s="8"/>
      <c r="AA223" s="8"/>
      <c r="AB223" s="8"/>
      <c r="AC223" s="8"/>
      <c r="AD223" s="8"/>
      <c r="AE223" s="8"/>
      <c r="AF223" s="8" t="s">
        <v>470</v>
      </c>
      <c r="AG223" s="48"/>
      <c r="AH223" s="48"/>
      <c r="AI223" s="344" t="s">
        <v>429</v>
      </c>
      <c r="AJ223" s="344"/>
      <c r="AK223" s="344"/>
      <c r="AL223" s="344"/>
      <c r="AM223" s="344"/>
      <c r="AN223" s="344"/>
      <c r="AO223" s="344"/>
      <c r="AP223" s="344"/>
      <c r="AQ223" s="344"/>
      <c r="AR223" s="344"/>
      <c r="AS223" s="344"/>
      <c r="AT223" s="344"/>
      <c r="AU223" s="253">
        <v>2</v>
      </c>
      <c r="AV223" s="111" t="s">
        <v>211</v>
      </c>
      <c r="AW223" s="111" t="s">
        <v>211</v>
      </c>
      <c r="AX223" s="111" t="s">
        <v>211</v>
      </c>
      <c r="AY223" s="8" t="s">
        <v>211</v>
      </c>
      <c r="AZ223" s="111" t="s">
        <v>211</v>
      </c>
      <c r="BA223" s="111" t="s">
        <v>362</v>
      </c>
      <c r="BB223" s="111" t="s">
        <v>211</v>
      </c>
      <c r="BC223" s="8">
        <v>1</v>
      </c>
      <c r="BD223" s="111" t="s">
        <v>211</v>
      </c>
      <c r="BE223" s="111">
        <f t="shared" si="47"/>
        <v>2</v>
      </c>
      <c r="BF223" s="111" t="s">
        <v>360</v>
      </c>
      <c r="BG223" s="111" t="s">
        <v>211</v>
      </c>
      <c r="BH223" s="111"/>
      <c r="BI223" s="111"/>
      <c r="BJ223" s="111" t="s">
        <v>360</v>
      </c>
      <c r="BK223" s="111" t="s">
        <v>360</v>
      </c>
      <c r="BL223" s="284">
        <f t="shared" si="49"/>
        <v>1</v>
      </c>
      <c r="BM223" s="200"/>
      <c r="BN223" s="200"/>
    </row>
    <row r="224" spans="2:66" ht="66.75" customHeight="1" x14ac:dyDescent="0.2">
      <c r="B224" s="48"/>
      <c r="C224" s="410"/>
      <c r="D224" s="411"/>
      <c r="E224" s="412"/>
      <c r="F224" s="271"/>
      <c r="G224" s="40" t="s">
        <v>478</v>
      </c>
      <c r="H224" s="74" t="s">
        <v>25</v>
      </c>
      <c r="I224" s="111" t="s">
        <v>211</v>
      </c>
      <c r="J224" s="111" t="s">
        <v>211</v>
      </c>
      <c r="K224" s="8"/>
      <c r="L224" s="8"/>
      <c r="M224" s="8" t="s">
        <v>465</v>
      </c>
      <c r="N224" s="8"/>
      <c r="O224" s="8"/>
      <c r="P224" s="8"/>
      <c r="Q224" s="8"/>
      <c r="R224" s="8"/>
      <c r="S224" s="8"/>
      <c r="T224" s="8"/>
      <c r="U224" s="8"/>
      <c r="V224" s="8"/>
      <c r="W224" s="8"/>
      <c r="X224" s="8"/>
      <c r="Y224" s="8"/>
      <c r="Z224" s="8"/>
      <c r="AA224" s="8"/>
      <c r="AB224" s="8"/>
      <c r="AC224" s="8"/>
      <c r="AD224" s="8"/>
      <c r="AE224" s="8"/>
      <c r="AF224" s="8"/>
      <c r="AG224" s="8" t="s">
        <v>560</v>
      </c>
      <c r="AH224" s="8"/>
      <c r="AI224" s="8"/>
      <c r="AJ224" s="8"/>
      <c r="AK224" s="8"/>
      <c r="AL224" s="8"/>
      <c r="AM224" s="8"/>
      <c r="AN224" s="8"/>
      <c r="AO224" s="8"/>
      <c r="AP224" s="8"/>
      <c r="AQ224" s="8"/>
      <c r="AR224" s="8"/>
      <c r="AS224" s="8"/>
      <c r="AT224" s="8"/>
      <c r="AU224" s="253">
        <v>23</v>
      </c>
      <c r="AV224" s="111" t="s">
        <v>211</v>
      </c>
      <c r="AW224" s="111" t="s">
        <v>211</v>
      </c>
      <c r="AX224" s="8">
        <v>8</v>
      </c>
      <c r="AY224" s="8">
        <v>2</v>
      </c>
      <c r="AZ224" s="111" t="s">
        <v>474</v>
      </c>
      <c r="BA224" s="111">
        <v>3</v>
      </c>
      <c r="BB224" s="8">
        <v>1</v>
      </c>
      <c r="BC224" s="111">
        <v>1</v>
      </c>
      <c r="BD224" s="8">
        <v>2</v>
      </c>
      <c r="BE224" s="111">
        <f t="shared" si="47"/>
        <v>7</v>
      </c>
      <c r="BF224" s="111" t="s">
        <v>360</v>
      </c>
      <c r="BG224" s="111" t="s">
        <v>364</v>
      </c>
      <c r="BH224" s="111"/>
      <c r="BI224" s="111"/>
      <c r="BJ224" s="111" t="s">
        <v>372</v>
      </c>
      <c r="BK224" s="111">
        <f t="shared" si="50"/>
        <v>22</v>
      </c>
      <c r="BL224" s="68">
        <f t="shared" si="49"/>
        <v>0.95652173913043481</v>
      </c>
      <c r="BM224" s="200"/>
      <c r="BN224" s="259"/>
    </row>
    <row r="225" spans="2:67" ht="21.75" customHeight="1" x14ac:dyDescent="0.2">
      <c r="B225" s="385" t="s">
        <v>67</v>
      </c>
      <c r="C225" s="385"/>
      <c r="D225" s="385"/>
      <c r="E225" s="385"/>
      <c r="F225" s="385"/>
      <c r="G225" s="385"/>
      <c r="H225" s="385"/>
      <c r="I225" s="385"/>
      <c r="J225" s="385"/>
      <c r="K225" s="385"/>
      <c r="L225" s="385"/>
      <c r="M225" s="385"/>
      <c r="N225" s="385"/>
      <c r="O225" s="385"/>
      <c r="P225" s="385"/>
      <c r="Q225" s="385"/>
      <c r="R225" s="385"/>
      <c r="S225" s="385"/>
      <c r="T225" s="385"/>
      <c r="U225" s="385"/>
      <c r="V225" s="385"/>
      <c r="W225" s="385"/>
      <c r="X225" s="385"/>
      <c r="Y225" s="385"/>
      <c r="Z225" s="385"/>
      <c r="AA225" s="385"/>
      <c r="AB225" s="385"/>
      <c r="AC225" s="385"/>
      <c r="AD225" s="385"/>
      <c r="AE225" s="385"/>
      <c r="AF225" s="385"/>
      <c r="AG225" s="385"/>
      <c r="AH225" s="385"/>
      <c r="AI225" s="385"/>
      <c r="AJ225" s="385"/>
      <c r="AK225" s="385"/>
      <c r="AL225" s="385"/>
      <c r="AM225" s="385"/>
      <c r="AN225" s="385"/>
      <c r="AO225" s="385"/>
      <c r="AP225" s="385"/>
      <c r="AQ225" s="385"/>
      <c r="AR225" s="385"/>
      <c r="AS225" s="385"/>
      <c r="AT225" s="385"/>
      <c r="AU225" s="385"/>
      <c r="AV225" s="385"/>
      <c r="AW225" s="385"/>
      <c r="AX225" s="385"/>
      <c r="AY225" s="385"/>
      <c r="AZ225" s="385"/>
      <c r="BA225" s="385"/>
      <c r="BB225" s="385"/>
      <c r="BC225" s="385"/>
      <c r="BD225" s="385"/>
      <c r="BE225" s="385"/>
      <c r="BF225" s="385"/>
      <c r="BG225" s="385"/>
      <c r="BH225" s="385"/>
      <c r="BI225" s="385"/>
      <c r="BJ225" s="385"/>
      <c r="BK225" s="385"/>
      <c r="BL225" s="385"/>
      <c r="BM225" s="385"/>
      <c r="BN225" s="385"/>
    </row>
    <row r="226" spans="2:67" s="181" customFormat="1" ht="20.25" customHeight="1" x14ac:dyDescent="0.2">
      <c r="B226" s="419" t="s">
        <v>100</v>
      </c>
      <c r="C226" s="419"/>
      <c r="D226" s="419"/>
      <c r="E226" s="419"/>
      <c r="F226" s="398" t="s">
        <v>121</v>
      </c>
      <c r="G226" s="398"/>
      <c r="H226" s="398"/>
      <c r="I226" s="398"/>
      <c r="J226" s="398"/>
      <c r="K226" s="398"/>
      <c r="L226" s="398"/>
      <c r="M226" s="398"/>
      <c r="N226" s="398"/>
      <c r="O226" s="398"/>
      <c r="P226" s="398"/>
      <c r="Q226" s="398"/>
      <c r="R226" s="398"/>
      <c r="S226" s="398"/>
      <c r="T226" s="398"/>
      <c r="U226" s="398"/>
      <c r="V226" s="398"/>
      <c r="W226" s="398"/>
      <c r="X226" s="398"/>
      <c r="Y226" s="398"/>
      <c r="Z226" s="398"/>
      <c r="AA226" s="398"/>
      <c r="AB226" s="398"/>
      <c r="AC226" s="398"/>
      <c r="AD226" s="398"/>
      <c r="AE226" s="398"/>
      <c r="AF226" s="398"/>
      <c r="AG226" s="398"/>
      <c r="AH226" s="398"/>
      <c r="AI226" s="398"/>
      <c r="AJ226" s="398"/>
      <c r="AK226" s="398"/>
      <c r="AL226" s="398"/>
      <c r="AM226" s="398"/>
      <c r="AN226" s="398"/>
      <c r="AO226" s="398"/>
      <c r="AP226" s="398"/>
      <c r="AQ226" s="398"/>
      <c r="AR226" s="398"/>
      <c r="AS226" s="398"/>
      <c r="AT226" s="398"/>
      <c r="AU226" s="398"/>
      <c r="AV226" s="398"/>
      <c r="AW226" s="398"/>
      <c r="AX226" s="398"/>
      <c r="AY226" s="398"/>
      <c r="AZ226" s="398"/>
      <c r="BA226" s="398"/>
      <c r="BB226" s="398"/>
      <c r="BC226" s="398"/>
      <c r="BD226" s="398"/>
      <c r="BE226" s="398"/>
      <c r="BF226" s="398"/>
      <c r="BG226" s="398"/>
      <c r="BH226" s="398"/>
      <c r="BI226" s="398"/>
      <c r="BJ226" s="398"/>
      <c r="BK226" s="398"/>
      <c r="BL226" s="398"/>
      <c r="BM226" s="398"/>
      <c r="BN226" s="398"/>
    </row>
    <row r="227" spans="2:67" s="181" customFormat="1" ht="31.5" customHeight="1" x14ac:dyDescent="0.2">
      <c r="B227" s="419" t="s">
        <v>90</v>
      </c>
      <c r="C227" s="419"/>
      <c r="D227" s="419"/>
      <c r="E227" s="419"/>
      <c r="F227" s="580" t="s">
        <v>220</v>
      </c>
      <c r="G227" s="580"/>
      <c r="H227" s="580"/>
      <c r="I227" s="580"/>
      <c r="J227" s="580"/>
      <c r="K227" s="580"/>
      <c r="L227" s="580"/>
      <c r="M227" s="580"/>
      <c r="N227" s="580"/>
      <c r="O227" s="580"/>
      <c r="P227" s="580"/>
      <c r="Q227" s="580"/>
      <c r="R227" s="580"/>
      <c r="S227" s="580"/>
      <c r="T227" s="580"/>
      <c r="U227" s="580"/>
      <c r="V227" s="580"/>
      <c r="W227" s="580"/>
      <c r="X227" s="580"/>
      <c r="Y227" s="580"/>
      <c r="Z227" s="580"/>
      <c r="AA227" s="580"/>
      <c r="AB227" s="580"/>
      <c r="AC227" s="580"/>
      <c r="AD227" s="580"/>
      <c r="AE227" s="580"/>
      <c r="AF227" s="580"/>
      <c r="AG227" s="580"/>
      <c r="AH227" s="580"/>
      <c r="AI227" s="580"/>
      <c r="AJ227" s="580"/>
      <c r="AK227" s="580"/>
      <c r="AL227" s="580"/>
      <c r="AM227" s="580"/>
      <c r="AN227" s="580"/>
      <c r="AO227" s="580"/>
      <c r="AP227" s="580"/>
      <c r="AQ227" s="580"/>
      <c r="AR227" s="580"/>
      <c r="AS227" s="580"/>
      <c r="AT227" s="580"/>
      <c r="AU227" s="580"/>
      <c r="AV227" s="580"/>
      <c r="AW227" s="580"/>
      <c r="AX227" s="580"/>
      <c r="AY227" s="580"/>
      <c r="AZ227" s="580"/>
      <c r="BA227" s="580"/>
      <c r="BB227" s="580"/>
      <c r="BC227" s="580"/>
      <c r="BD227" s="580"/>
      <c r="BE227" s="580"/>
      <c r="BF227" s="580"/>
      <c r="BG227" s="580"/>
      <c r="BH227" s="580"/>
      <c r="BI227" s="580"/>
      <c r="BJ227" s="580"/>
      <c r="BK227" s="580"/>
      <c r="BL227" s="580"/>
      <c r="BM227" s="580"/>
      <c r="BN227" s="580"/>
    </row>
    <row r="228" spans="2:67" s="181" customFormat="1" ht="18" customHeight="1" x14ac:dyDescent="0.2">
      <c r="B228" s="389" t="s">
        <v>145</v>
      </c>
      <c r="C228" s="390"/>
      <c r="D228" s="390"/>
      <c r="E228" s="391"/>
      <c r="F228" s="581" t="s">
        <v>224</v>
      </c>
      <c r="G228" s="582"/>
      <c r="H228" s="582"/>
      <c r="I228" s="582"/>
      <c r="J228" s="582"/>
      <c r="K228" s="582"/>
      <c r="L228" s="582"/>
      <c r="M228" s="582"/>
      <c r="N228" s="582"/>
      <c r="O228" s="582"/>
      <c r="P228" s="582"/>
      <c r="Q228" s="582"/>
      <c r="R228" s="582"/>
      <c r="S228" s="582"/>
      <c r="T228" s="582"/>
      <c r="U228" s="582"/>
      <c r="V228" s="582"/>
      <c r="W228" s="582"/>
      <c r="X228" s="582"/>
      <c r="Y228" s="582"/>
      <c r="Z228" s="582"/>
      <c r="AA228" s="582"/>
      <c r="AB228" s="582"/>
      <c r="AC228" s="582"/>
      <c r="AD228" s="582"/>
      <c r="AE228" s="582"/>
      <c r="AF228" s="582"/>
      <c r="AG228" s="582"/>
      <c r="AH228" s="582"/>
      <c r="AI228" s="582"/>
      <c r="AJ228" s="582"/>
      <c r="AK228" s="582"/>
      <c r="AL228" s="582"/>
      <c r="AM228" s="582"/>
      <c r="AN228" s="582"/>
      <c r="AO228" s="582"/>
      <c r="AP228" s="582"/>
      <c r="AQ228" s="582"/>
      <c r="AR228" s="582"/>
      <c r="AS228" s="582"/>
      <c r="AT228" s="582"/>
      <c r="AU228" s="582"/>
      <c r="AV228" s="582"/>
      <c r="AW228" s="582"/>
      <c r="AX228" s="582"/>
      <c r="AY228" s="582"/>
      <c r="AZ228" s="582"/>
      <c r="BA228" s="582"/>
      <c r="BB228" s="582"/>
      <c r="BC228" s="582"/>
      <c r="BD228" s="582"/>
      <c r="BE228" s="582"/>
      <c r="BF228" s="582"/>
      <c r="BG228" s="582"/>
      <c r="BH228" s="582"/>
      <c r="BI228" s="582"/>
      <c r="BJ228" s="582"/>
      <c r="BK228" s="582"/>
      <c r="BL228" s="582"/>
      <c r="BM228" s="582"/>
      <c r="BN228" s="583"/>
    </row>
    <row r="229" spans="2:67" s="181" customFormat="1" ht="21" customHeight="1" x14ac:dyDescent="0.2">
      <c r="B229" s="429" t="s">
        <v>122</v>
      </c>
      <c r="C229" s="430"/>
      <c r="D229" s="430"/>
      <c r="E229" s="430"/>
      <c r="F229" s="430"/>
      <c r="G229" s="430"/>
      <c r="H229" s="430"/>
      <c r="I229" s="430"/>
      <c r="J229" s="430"/>
      <c r="K229" s="430"/>
      <c r="L229" s="430"/>
      <c r="M229" s="430"/>
      <c r="N229" s="430"/>
      <c r="O229" s="430"/>
      <c r="P229" s="430"/>
      <c r="Q229" s="430"/>
      <c r="R229" s="430"/>
      <c r="S229" s="430"/>
      <c r="T229" s="430"/>
      <c r="U229" s="430"/>
      <c r="V229" s="430"/>
      <c r="W229" s="430"/>
      <c r="X229" s="430"/>
      <c r="Y229" s="430"/>
      <c r="Z229" s="430"/>
      <c r="AA229" s="430"/>
      <c r="AB229" s="430"/>
      <c r="AC229" s="430"/>
      <c r="AD229" s="430"/>
      <c r="AE229" s="430"/>
      <c r="AF229" s="430"/>
      <c r="AG229" s="430"/>
      <c r="AH229" s="430"/>
      <c r="AI229" s="430"/>
      <c r="AJ229" s="430"/>
      <c r="AK229" s="430"/>
      <c r="AL229" s="430"/>
      <c r="AM229" s="430"/>
      <c r="AN229" s="430"/>
      <c r="AO229" s="430"/>
      <c r="AP229" s="430"/>
      <c r="AQ229" s="430"/>
      <c r="AR229" s="430"/>
      <c r="AS229" s="430"/>
      <c r="AT229" s="430"/>
      <c r="AU229" s="430"/>
      <c r="AV229" s="430"/>
      <c r="AW229" s="430"/>
      <c r="AX229" s="430"/>
      <c r="AY229" s="430"/>
      <c r="AZ229" s="430"/>
      <c r="BA229" s="430"/>
      <c r="BB229" s="430"/>
      <c r="BC229" s="430"/>
      <c r="BD229" s="430"/>
      <c r="BE229" s="430"/>
      <c r="BF229" s="430"/>
      <c r="BG229" s="430"/>
      <c r="BH229" s="430"/>
      <c r="BI229" s="430"/>
      <c r="BJ229" s="430"/>
      <c r="BK229" s="430"/>
      <c r="BL229" s="430"/>
      <c r="BM229" s="430"/>
      <c r="BN229" s="217"/>
    </row>
    <row r="230" spans="2:67" s="181" customFormat="1" ht="32.25" customHeight="1" x14ac:dyDescent="0.2">
      <c r="B230" s="397" t="s">
        <v>102</v>
      </c>
      <c r="C230" s="397"/>
      <c r="D230" s="397"/>
      <c r="E230" s="397"/>
      <c r="F230" s="565" t="s">
        <v>186</v>
      </c>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6"/>
      <c r="AL230" s="566"/>
      <c r="AM230" s="566"/>
      <c r="AN230" s="566"/>
      <c r="AO230" s="566"/>
      <c r="AP230" s="566"/>
      <c r="AQ230" s="566"/>
      <c r="AR230" s="566"/>
      <c r="AS230" s="566"/>
      <c r="AT230" s="566"/>
      <c r="AU230" s="566"/>
      <c r="AV230" s="566"/>
      <c r="AW230" s="566"/>
      <c r="AX230" s="566"/>
      <c r="AY230" s="566"/>
      <c r="AZ230" s="566"/>
      <c r="BA230" s="566"/>
      <c r="BB230" s="566"/>
      <c r="BC230" s="566"/>
      <c r="BD230" s="566"/>
      <c r="BE230" s="566"/>
      <c r="BF230" s="566"/>
      <c r="BG230" s="566"/>
      <c r="BH230" s="566"/>
      <c r="BI230" s="566"/>
      <c r="BJ230" s="566"/>
      <c r="BK230" s="566"/>
      <c r="BL230" s="566"/>
      <c r="BM230" s="566"/>
      <c r="BN230" s="567"/>
    </row>
    <row r="231" spans="2:67" s="181" customFormat="1" ht="17.25" customHeight="1" x14ac:dyDescent="0.2">
      <c r="B231" s="387" t="s">
        <v>103</v>
      </c>
      <c r="C231" s="387"/>
      <c r="D231" s="387"/>
      <c r="E231" s="387"/>
      <c r="F231" s="568" t="s">
        <v>208</v>
      </c>
      <c r="G231" s="569"/>
      <c r="H231" s="569"/>
      <c r="I231" s="569"/>
      <c r="J231" s="569"/>
      <c r="K231" s="569"/>
      <c r="L231" s="569"/>
      <c r="M231" s="569"/>
      <c r="N231" s="569"/>
      <c r="O231" s="569"/>
      <c r="P231" s="569"/>
      <c r="Q231" s="569"/>
      <c r="R231" s="569"/>
      <c r="S231" s="569"/>
      <c r="T231" s="569"/>
      <c r="U231" s="569"/>
      <c r="V231" s="569"/>
      <c r="W231" s="569"/>
      <c r="X231" s="569"/>
      <c r="Y231" s="569"/>
      <c r="Z231" s="569"/>
      <c r="AA231" s="569"/>
      <c r="AB231" s="569"/>
      <c r="AC231" s="569"/>
      <c r="AD231" s="569"/>
      <c r="AE231" s="569"/>
      <c r="AF231" s="569"/>
      <c r="AG231" s="569"/>
      <c r="AH231" s="569"/>
      <c r="AI231" s="569"/>
      <c r="AJ231" s="569"/>
      <c r="AK231" s="569"/>
      <c r="AL231" s="569"/>
      <c r="AM231" s="569"/>
      <c r="AN231" s="569"/>
      <c r="AO231" s="569"/>
      <c r="AP231" s="569"/>
      <c r="AQ231" s="569"/>
      <c r="AR231" s="569"/>
      <c r="AS231" s="569"/>
      <c r="AT231" s="569"/>
      <c r="AU231" s="569"/>
      <c r="AV231" s="569"/>
      <c r="AW231" s="569"/>
      <c r="AX231" s="569"/>
      <c r="AY231" s="569"/>
      <c r="AZ231" s="569"/>
      <c r="BA231" s="569"/>
      <c r="BB231" s="569"/>
      <c r="BC231" s="569"/>
      <c r="BD231" s="569"/>
      <c r="BE231" s="569"/>
      <c r="BF231" s="569"/>
      <c r="BG231" s="569"/>
      <c r="BH231" s="569"/>
      <c r="BI231" s="569"/>
      <c r="BJ231" s="569"/>
      <c r="BK231" s="569"/>
      <c r="BL231" s="569"/>
      <c r="BM231" s="569"/>
      <c r="BN231" s="570"/>
    </row>
    <row r="232" spans="2:67" ht="21" customHeight="1" x14ac:dyDescent="0.2">
      <c r="B232" s="88"/>
      <c r="C232" s="413" t="s">
        <v>235</v>
      </c>
      <c r="D232" s="414"/>
      <c r="E232" s="414"/>
      <c r="F232" s="414"/>
      <c r="G232" s="414"/>
      <c r="H232" s="414"/>
      <c r="I232" s="414"/>
      <c r="J232" s="414"/>
      <c r="K232" s="414"/>
      <c r="L232" s="414"/>
      <c r="M232" s="414"/>
      <c r="N232" s="414"/>
      <c r="O232" s="414"/>
      <c r="P232" s="414"/>
      <c r="Q232" s="414"/>
      <c r="R232" s="414"/>
      <c r="S232" s="414"/>
      <c r="T232" s="414"/>
      <c r="U232" s="414"/>
      <c r="V232" s="414"/>
      <c r="W232" s="414"/>
      <c r="X232" s="414"/>
      <c r="Y232" s="414"/>
      <c r="Z232" s="414"/>
      <c r="AA232" s="414"/>
      <c r="AB232" s="414"/>
      <c r="AC232" s="414"/>
      <c r="AD232" s="414"/>
      <c r="AE232" s="414"/>
      <c r="AF232" s="414"/>
      <c r="AG232" s="414"/>
      <c r="AH232" s="414"/>
      <c r="AI232" s="414"/>
      <c r="AJ232" s="414"/>
      <c r="AK232" s="414"/>
      <c r="AL232" s="414"/>
      <c r="AM232" s="414"/>
      <c r="AN232" s="414"/>
      <c r="AO232" s="414"/>
      <c r="AP232" s="414"/>
      <c r="AQ232" s="414"/>
      <c r="AR232" s="414"/>
      <c r="AS232" s="414"/>
      <c r="AT232" s="414"/>
      <c r="AU232" s="414"/>
      <c r="AV232" s="414"/>
      <c r="AW232" s="414"/>
      <c r="AX232" s="414"/>
      <c r="AY232" s="414"/>
      <c r="AZ232" s="414"/>
      <c r="BA232" s="414"/>
      <c r="BB232" s="414"/>
      <c r="BC232" s="414"/>
      <c r="BD232" s="414"/>
      <c r="BE232" s="414"/>
      <c r="BF232" s="414"/>
      <c r="BG232" s="414"/>
      <c r="BH232" s="414"/>
      <c r="BI232" s="414"/>
      <c r="BJ232" s="414"/>
      <c r="BK232" s="414"/>
      <c r="BL232" s="414"/>
      <c r="BM232" s="414"/>
      <c r="BN232" s="415"/>
    </row>
    <row r="233" spans="2:67" ht="61.5" customHeight="1" x14ac:dyDescent="0.2">
      <c r="B233" s="184" t="s">
        <v>139</v>
      </c>
      <c r="C233" s="401" t="s">
        <v>94</v>
      </c>
      <c r="D233" s="402"/>
      <c r="E233" s="403"/>
      <c r="F233" s="185" t="s">
        <v>95</v>
      </c>
      <c r="G233" s="186" t="s">
        <v>4</v>
      </c>
      <c r="H233" s="187" t="s">
        <v>3</v>
      </c>
      <c r="I233" s="188" t="s">
        <v>96</v>
      </c>
      <c r="J233" s="207" t="s">
        <v>494</v>
      </c>
      <c r="K233" s="207" t="s">
        <v>495</v>
      </c>
      <c r="L233" s="207" t="s">
        <v>380</v>
      </c>
      <c r="M233" s="208" t="s">
        <v>381</v>
      </c>
      <c r="N233" s="207" t="s">
        <v>517</v>
      </c>
      <c r="O233" s="207" t="s">
        <v>518</v>
      </c>
      <c r="P233" s="207" t="s">
        <v>490</v>
      </c>
      <c r="Q233" s="208" t="s">
        <v>491</v>
      </c>
      <c r="R233" s="208" t="s">
        <v>492</v>
      </c>
      <c r="S233" s="208" t="s">
        <v>493</v>
      </c>
      <c r="T233" s="208" t="s">
        <v>519</v>
      </c>
      <c r="U233" s="208" t="s">
        <v>523</v>
      </c>
      <c r="V233" s="208" t="s">
        <v>525</v>
      </c>
      <c r="W233" s="208" t="s">
        <v>571</v>
      </c>
      <c r="X233" s="208" t="s">
        <v>538</v>
      </c>
      <c r="Y233" s="208" t="s">
        <v>553</v>
      </c>
      <c r="Z233" s="208" t="s">
        <v>554</v>
      </c>
      <c r="AA233" s="307" t="s">
        <v>581</v>
      </c>
      <c r="AB233" s="208" t="s">
        <v>570</v>
      </c>
      <c r="AC233" s="307" t="s">
        <v>564</v>
      </c>
      <c r="AD233" s="307" t="s">
        <v>582</v>
      </c>
      <c r="AE233" s="309" t="s">
        <v>578</v>
      </c>
      <c r="AF233" s="307" t="s">
        <v>635</v>
      </c>
      <c r="AG233" s="307" t="s">
        <v>590</v>
      </c>
      <c r="AH233" s="307" t="s">
        <v>606</v>
      </c>
      <c r="AI233" s="307" t="s">
        <v>636</v>
      </c>
      <c r="AJ233" s="307" t="s">
        <v>623</v>
      </c>
      <c r="AK233" s="307" t="s">
        <v>628</v>
      </c>
      <c r="AL233" s="307" t="s">
        <v>637</v>
      </c>
      <c r="AM233" s="307" t="s">
        <v>641</v>
      </c>
      <c r="AN233" s="307" t="s">
        <v>643</v>
      </c>
      <c r="AO233" s="307" t="s">
        <v>646</v>
      </c>
      <c r="AP233" s="307" t="s">
        <v>650</v>
      </c>
      <c r="AQ233" s="307" t="s">
        <v>689</v>
      </c>
      <c r="AR233" s="307" t="s">
        <v>697</v>
      </c>
      <c r="AS233" s="307" t="s">
        <v>725</v>
      </c>
      <c r="AT233" s="307" t="s">
        <v>729</v>
      </c>
      <c r="AU233" s="188" t="s">
        <v>150</v>
      </c>
      <c r="AV233" s="1" t="s">
        <v>5</v>
      </c>
      <c r="AW233" s="1" t="s">
        <v>6</v>
      </c>
      <c r="AX233" s="1" t="s">
        <v>7</v>
      </c>
      <c r="AY233" s="1" t="s">
        <v>8</v>
      </c>
      <c r="AZ233" s="34" t="s">
        <v>157</v>
      </c>
      <c r="BA233" s="2" t="s">
        <v>9</v>
      </c>
      <c r="BB233" s="2" t="s">
        <v>10</v>
      </c>
      <c r="BC233" s="2" t="s">
        <v>11</v>
      </c>
      <c r="BD233" s="2" t="s">
        <v>12</v>
      </c>
      <c r="BE233" s="34" t="s">
        <v>158</v>
      </c>
      <c r="BF233" s="2" t="s">
        <v>13</v>
      </c>
      <c r="BG233" s="2" t="s">
        <v>14</v>
      </c>
      <c r="BH233" s="2" t="s">
        <v>15</v>
      </c>
      <c r="BI233" s="2" t="s">
        <v>16</v>
      </c>
      <c r="BJ233" s="34" t="s">
        <v>159</v>
      </c>
      <c r="BK233" s="189" t="s">
        <v>97</v>
      </c>
      <c r="BL233" s="189" t="s">
        <v>98</v>
      </c>
      <c r="BM233" s="190" t="s">
        <v>256</v>
      </c>
      <c r="BN233" s="189" t="s">
        <v>99</v>
      </c>
    </row>
    <row r="234" spans="2:67" ht="29.25" customHeight="1" x14ac:dyDescent="0.2">
      <c r="B234" s="514" t="s">
        <v>17</v>
      </c>
      <c r="C234" s="515"/>
      <c r="D234" s="515"/>
      <c r="E234" s="515"/>
      <c r="F234" s="515"/>
      <c r="G234" s="515"/>
      <c r="H234" s="516"/>
      <c r="I234" s="54">
        <f>SUM(I235+I253+I262+I275)</f>
        <v>3982</v>
      </c>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v>4130</v>
      </c>
      <c r="AV234" s="54">
        <f>+AV235+AV253+AV262+AV275</f>
        <v>416</v>
      </c>
      <c r="AW234" s="54">
        <f>+AW235+AW253+AW262+AW275</f>
        <v>475</v>
      </c>
      <c r="AX234" s="54">
        <f>+AX235+AX253+AX262+AX275</f>
        <v>511</v>
      </c>
      <c r="AY234" s="54">
        <f>+AY235+AY253+AY262+AY275</f>
        <v>382</v>
      </c>
      <c r="AZ234" s="54">
        <f t="shared" ref="AZ234:BK234" si="51">SUM(AZ235+AZ253+AZ262+AZ275)</f>
        <v>1784</v>
      </c>
      <c r="BA234" s="54">
        <f t="shared" si="51"/>
        <v>350</v>
      </c>
      <c r="BB234" s="54">
        <f t="shared" si="51"/>
        <v>325</v>
      </c>
      <c r="BC234" s="54">
        <f t="shared" si="51"/>
        <v>295</v>
      </c>
      <c r="BD234" s="54">
        <f t="shared" si="51"/>
        <v>282</v>
      </c>
      <c r="BE234" s="54">
        <f t="shared" si="51"/>
        <v>1252</v>
      </c>
      <c r="BF234" s="54">
        <f t="shared" si="51"/>
        <v>287</v>
      </c>
      <c r="BG234" s="54">
        <f>SUM(BG235+BG253+BG262+BG275)</f>
        <v>267</v>
      </c>
      <c r="BH234" s="54">
        <f>SUM(BH235+BH253+BH262+BH275)</f>
        <v>0</v>
      </c>
      <c r="BI234" s="54">
        <f>SUM(BI235+BI253+BI262+BI275)</f>
        <v>0</v>
      </c>
      <c r="BJ234" s="54">
        <f>SUM(BJ235+BJ253+BJ262+BJ275)</f>
        <v>554</v>
      </c>
      <c r="BK234" s="54">
        <f t="shared" si="51"/>
        <v>3590</v>
      </c>
      <c r="BL234" s="104">
        <f>SUM(BK234/AU234)</f>
        <v>0.86924939467312345</v>
      </c>
      <c r="BM234" s="103">
        <f>+BM235+BM262+BM275</f>
        <v>64512779</v>
      </c>
      <c r="BN234" s="276" t="s">
        <v>678</v>
      </c>
    </row>
    <row r="235" spans="2:67" ht="72" customHeight="1" x14ac:dyDescent="0.2">
      <c r="B235" s="30">
        <v>1</v>
      </c>
      <c r="C235" s="470" t="s">
        <v>291</v>
      </c>
      <c r="D235" s="470"/>
      <c r="E235" s="470"/>
      <c r="F235" s="155"/>
      <c r="G235" s="155"/>
      <c r="H235" s="155" t="s">
        <v>25</v>
      </c>
      <c r="I235" s="155">
        <v>295</v>
      </c>
      <c r="J235" s="155"/>
      <c r="K235" s="155"/>
      <c r="L235" s="178"/>
      <c r="M235" s="81" t="s">
        <v>428</v>
      </c>
      <c r="N235" s="81"/>
      <c r="O235" s="81"/>
      <c r="P235" s="81"/>
      <c r="Q235" s="81"/>
      <c r="R235" s="65" t="s">
        <v>470</v>
      </c>
      <c r="S235" s="65"/>
      <c r="T235" s="65"/>
      <c r="U235" s="65"/>
      <c r="V235" s="65" t="s">
        <v>527</v>
      </c>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5"/>
      <c r="AU235" s="262">
        <v>316</v>
      </c>
      <c r="AV235" s="154">
        <f>+AV236+AV245+AV256</f>
        <v>13</v>
      </c>
      <c r="AW235" s="179">
        <f>+AW236+AW245+AW256</f>
        <v>26</v>
      </c>
      <c r="AX235" s="248">
        <f>+AX236+AX245+AX256</f>
        <v>30</v>
      </c>
      <c r="AY235" s="154">
        <f>+AY236+AY245+AY256</f>
        <v>31</v>
      </c>
      <c r="AZ235" s="10">
        <f>+AV235+AW235+AX235+AY235</f>
        <v>100</v>
      </c>
      <c r="BA235" s="154">
        <v>36</v>
      </c>
      <c r="BB235" s="7">
        <f>SUM(BB236+BB245+BB256)</f>
        <v>40</v>
      </c>
      <c r="BC235" s="7">
        <f>SUM(BC236+BC245+BC256)</f>
        <v>23</v>
      </c>
      <c r="BD235" s="154">
        <f>SUM(BD236+BD245+BD256)</f>
        <v>16</v>
      </c>
      <c r="BE235" s="7">
        <f>SUM(BA235:BD235)</f>
        <v>115</v>
      </c>
      <c r="BF235" s="7">
        <f>+BF236+BF245+BF256</f>
        <v>21</v>
      </c>
      <c r="BG235" s="108">
        <f>+BG236+BG245+BG256</f>
        <v>27</v>
      </c>
      <c r="BH235" s="155"/>
      <c r="BI235" s="155"/>
      <c r="BJ235" s="108">
        <f>+BF235+BG235</f>
        <v>48</v>
      </c>
      <c r="BK235" s="10">
        <f>SUM(AZ235+BE235+BJ235)</f>
        <v>263</v>
      </c>
      <c r="BL235" s="41">
        <f>SUM(BK235/AU235)</f>
        <v>0.83227848101265822</v>
      </c>
      <c r="BM235" s="3">
        <v>26400538</v>
      </c>
      <c r="BN235" s="276" t="s">
        <v>658</v>
      </c>
      <c r="BO235" s="61">
        <f>SUM(BO236+BO245+BO256)</f>
        <v>57</v>
      </c>
    </row>
    <row r="236" spans="2:67" ht="75" customHeight="1" x14ac:dyDescent="0.2">
      <c r="B236" s="37"/>
      <c r="C236" s="410"/>
      <c r="D236" s="411"/>
      <c r="E236" s="412"/>
      <c r="F236" s="64" t="s">
        <v>292</v>
      </c>
      <c r="G236" s="19"/>
      <c r="H236" s="19" t="s">
        <v>25</v>
      </c>
      <c r="I236" s="86">
        <v>70</v>
      </c>
      <c r="J236" s="86"/>
      <c r="K236" s="86"/>
      <c r="L236" s="86"/>
      <c r="M236" s="81" t="s">
        <v>425</v>
      </c>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265">
        <v>79</v>
      </c>
      <c r="AV236" s="13">
        <v>5</v>
      </c>
      <c r="AW236" s="13">
        <v>6</v>
      </c>
      <c r="AX236" s="13">
        <v>6</v>
      </c>
      <c r="AY236" s="13">
        <v>9</v>
      </c>
      <c r="AZ236" s="7">
        <f>SUM(AV236:AY236)</f>
        <v>26</v>
      </c>
      <c r="BA236" s="7">
        <v>6</v>
      </c>
      <c r="BB236" s="7">
        <v>7</v>
      </c>
      <c r="BC236" s="5">
        <f>+BC237+BC240</f>
        <v>8</v>
      </c>
      <c r="BD236" s="5">
        <v>6</v>
      </c>
      <c r="BE236" s="7">
        <f>SUM(BA236+BB236+BC236+BD236)</f>
        <v>27</v>
      </c>
      <c r="BF236" s="7">
        <v>6</v>
      </c>
      <c r="BG236" s="7">
        <v>5</v>
      </c>
      <c r="BH236" s="7"/>
      <c r="BI236" s="135"/>
      <c r="BJ236" s="7">
        <f>SUM(BF236:BI236)</f>
        <v>11</v>
      </c>
      <c r="BK236" s="7">
        <f>SUM(AZ236+BE236+BJ236)</f>
        <v>64</v>
      </c>
      <c r="BL236" s="41">
        <f>SUM(BK236/AU236)</f>
        <v>0.810126582278481</v>
      </c>
      <c r="BM236" s="26"/>
      <c r="BN236" s="12"/>
      <c r="BO236" s="61">
        <f>8+7+6+3</f>
        <v>24</v>
      </c>
    </row>
    <row r="237" spans="2:67" ht="15.75" customHeight="1" x14ac:dyDescent="0.2">
      <c r="B237" s="39"/>
      <c r="C237" s="381"/>
      <c r="D237" s="381"/>
      <c r="E237" s="381"/>
      <c r="F237" s="48"/>
      <c r="G237" s="24" t="s">
        <v>171</v>
      </c>
      <c r="H237" s="20"/>
      <c r="I237" s="155">
        <v>15</v>
      </c>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282">
        <v>19</v>
      </c>
      <c r="AV237" s="5">
        <v>1</v>
      </c>
      <c r="AW237" s="5">
        <v>1</v>
      </c>
      <c r="AX237" s="5">
        <v>2</v>
      </c>
      <c r="AY237" s="5">
        <v>4</v>
      </c>
      <c r="AZ237" s="7">
        <f>SUM(AV237:AY237)</f>
        <v>8</v>
      </c>
      <c r="BA237" s="5">
        <v>1</v>
      </c>
      <c r="BB237" s="5">
        <v>2</v>
      </c>
      <c r="BC237" s="5">
        <v>2</v>
      </c>
      <c r="BD237" s="5">
        <v>1</v>
      </c>
      <c r="BE237" s="7">
        <f>SUM(BA237+BB237+BC237+BD237)</f>
        <v>6</v>
      </c>
      <c r="BF237" s="5">
        <v>1</v>
      </c>
      <c r="BG237" s="133"/>
      <c r="BH237" s="7"/>
      <c r="BI237" s="133"/>
      <c r="BJ237" s="7">
        <f>SUM(BF237:BI237)</f>
        <v>1</v>
      </c>
      <c r="BK237" s="7">
        <f>SUM(AZ237+BE237+BJ237)</f>
        <v>15</v>
      </c>
      <c r="BL237" s="41">
        <f>SUM(BK237/AU237)</f>
        <v>0.78947368421052633</v>
      </c>
      <c r="BM237" s="53"/>
      <c r="BN237" s="12"/>
    </row>
    <row r="238" spans="2:67" ht="135.75" customHeight="1" x14ac:dyDescent="0.2">
      <c r="B238" s="48"/>
      <c r="C238" s="595"/>
      <c r="D238" s="381"/>
      <c r="E238" s="381"/>
      <c r="F238" s="25"/>
      <c r="G238" s="64" t="s">
        <v>293</v>
      </c>
      <c r="H238" s="19" t="s">
        <v>25</v>
      </c>
      <c r="I238" s="65">
        <v>15</v>
      </c>
      <c r="J238" s="65"/>
      <c r="K238" s="65"/>
      <c r="L238" s="65"/>
      <c r="M238" s="81" t="s">
        <v>424</v>
      </c>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266">
        <v>19</v>
      </c>
      <c r="AV238" s="8">
        <v>1</v>
      </c>
      <c r="AW238" s="8">
        <v>1</v>
      </c>
      <c r="AX238" s="23">
        <v>2</v>
      </c>
      <c r="AY238" s="8">
        <v>4</v>
      </c>
      <c r="AZ238" s="6">
        <f>SUM(AV238:AY238)</f>
        <v>8</v>
      </c>
      <c r="BA238" s="8">
        <v>1</v>
      </c>
      <c r="BB238" s="23">
        <v>2</v>
      </c>
      <c r="BC238" s="23">
        <v>2</v>
      </c>
      <c r="BD238" s="23">
        <v>1</v>
      </c>
      <c r="BE238" s="6">
        <f>SUM(BA238+BB238+BC238+BD238)</f>
        <v>6</v>
      </c>
      <c r="BF238" s="23">
        <v>1</v>
      </c>
      <c r="BG238" s="133" t="s">
        <v>211</v>
      </c>
      <c r="BH238" s="6"/>
      <c r="BI238" s="133"/>
      <c r="BJ238" s="6">
        <f>SUM(BF238:BI238)</f>
        <v>1</v>
      </c>
      <c r="BK238" s="6">
        <f>SUM(AZ238+BE238+BJ238)</f>
        <v>15</v>
      </c>
      <c r="BL238" s="68">
        <f>SUM(BK238/AU238)</f>
        <v>0.78947368421052633</v>
      </c>
      <c r="BM238" s="373"/>
      <c r="BN238" s="374"/>
    </row>
    <row r="239" spans="2:67" ht="11.25" customHeight="1" x14ac:dyDescent="0.2">
      <c r="B239" s="590"/>
      <c r="C239" s="591"/>
      <c r="D239" s="591"/>
      <c r="E239" s="591"/>
      <c r="F239" s="591"/>
      <c r="G239" s="591"/>
      <c r="H239" s="591"/>
      <c r="I239" s="591"/>
      <c r="J239" s="591"/>
      <c r="K239" s="591"/>
      <c r="L239" s="591"/>
      <c r="M239" s="591"/>
      <c r="N239" s="591"/>
      <c r="O239" s="591"/>
      <c r="P239" s="591"/>
      <c r="Q239" s="591"/>
      <c r="R239" s="591"/>
      <c r="S239" s="591"/>
      <c r="T239" s="591"/>
      <c r="U239" s="591"/>
      <c r="V239" s="591"/>
      <c r="W239" s="591"/>
      <c r="X239" s="591"/>
      <c r="Y239" s="591"/>
      <c r="Z239" s="591"/>
      <c r="AA239" s="591"/>
      <c r="AB239" s="591"/>
      <c r="AC239" s="591"/>
      <c r="AD239" s="591"/>
      <c r="AE239" s="591"/>
      <c r="AF239" s="591"/>
      <c r="AG239" s="591"/>
      <c r="AH239" s="591"/>
      <c r="AI239" s="591"/>
      <c r="AJ239" s="591"/>
      <c r="AK239" s="591"/>
      <c r="AL239" s="591"/>
      <c r="AM239" s="591"/>
      <c r="AN239" s="591"/>
      <c r="AO239" s="591"/>
      <c r="AP239" s="591"/>
      <c r="AQ239" s="591"/>
      <c r="AR239" s="591"/>
      <c r="AS239" s="591"/>
      <c r="AT239" s="591"/>
      <c r="AU239" s="591"/>
      <c r="AV239" s="591"/>
      <c r="AW239" s="591"/>
      <c r="AX239" s="591"/>
      <c r="AY239" s="591"/>
      <c r="AZ239" s="591"/>
      <c r="BA239" s="591"/>
      <c r="BB239" s="591"/>
      <c r="BC239" s="591"/>
      <c r="BD239" s="591"/>
      <c r="BE239" s="591"/>
      <c r="BF239" s="591"/>
      <c r="BG239" s="591"/>
      <c r="BH239" s="591"/>
      <c r="BI239" s="591"/>
      <c r="BJ239" s="591"/>
      <c r="BK239" s="591"/>
      <c r="BL239" s="591"/>
      <c r="BM239" s="591"/>
      <c r="BN239" s="219"/>
    </row>
    <row r="240" spans="2:67" ht="32.25" customHeight="1" x14ac:dyDescent="0.2">
      <c r="B240" s="48"/>
      <c r="C240" s="381"/>
      <c r="D240" s="381"/>
      <c r="E240" s="381"/>
      <c r="F240" s="33"/>
      <c r="G240" s="24" t="s">
        <v>68</v>
      </c>
      <c r="H240" s="24"/>
      <c r="I240" s="154">
        <v>55</v>
      </c>
      <c r="J240" s="154"/>
      <c r="K240" s="154"/>
      <c r="L240" s="179"/>
      <c r="M240" s="81" t="s">
        <v>423</v>
      </c>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262">
        <v>60</v>
      </c>
      <c r="AV240" s="5">
        <v>4</v>
      </c>
      <c r="AW240" s="22">
        <v>5</v>
      </c>
      <c r="AX240" s="22">
        <v>4</v>
      </c>
      <c r="AY240" s="22">
        <v>5</v>
      </c>
      <c r="AZ240" s="7">
        <f>SUM(AV240:AY240)</f>
        <v>18</v>
      </c>
      <c r="BA240" s="22">
        <v>5</v>
      </c>
      <c r="BB240" s="22">
        <v>5</v>
      </c>
      <c r="BC240" s="22">
        <f>+BC241+BC242</f>
        <v>6</v>
      </c>
      <c r="BD240" s="22">
        <v>5</v>
      </c>
      <c r="BE240" s="7">
        <f>SUM(BA240+BB240+BC240+BD240)</f>
        <v>21</v>
      </c>
      <c r="BF240" s="5">
        <v>5</v>
      </c>
      <c r="BG240" s="5">
        <v>5</v>
      </c>
      <c r="BH240" s="5"/>
      <c r="BI240" s="135"/>
      <c r="BJ240" s="7">
        <f>SUM(BF240:BI240)</f>
        <v>10</v>
      </c>
      <c r="BK240" s="7">
        <f>SUM(AZ240+BE240+BJ240)</f>
        <v>49</v>
      </c>
      <c r="BL240" s="41">
        <f>SUM(BK240/AU240)</f>
        <v>0.81666666666666665</v>
      </c>
      <c r="BM240" s="12"/>
      <c r="BN240" s="12"/>
    </row>
    <row r="241" spans="2:67" ht="207.75" customHeight="1" outlineLevel="1" x14ac:dyDescent="0.2">
      <c r="B241" s="48"/>
      <c r="C241" s="381"/>
      <c r="D241" s="381"/>
      <c r="E241" s="381"/>
      <c r="F241" s="33"/>
      <c r="G241" s="64" t="s">
        <v>294</v>
      </c>
      <c r="H241" s="8" t="s">
        <v>19</v>
      </c>
      <c r="I241" s="65">
        <v>38</v>
      </c>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5"/>
      <c r="AU241" s="254">
        <v>38</v>
      </c>
      <c r="AV241" s="8">
        <v>3</v>
      </c>
      <c r="AW241" s="8">
        <v>3</v>
      </c>
      <c r="AX241" s="8">
        <v>3</v>
      </c>
      <c r="AY241" s="8">
        <v>3</v>
      </c>
      <c r="AZ241" s="6">
        <f>SUM(AV241:AY241)</f>
        <v>12</v>
      </c>
      <c r="BA241" s="8">
        <v>3</v>
      </c>
      <c r="BB241" s="8">
        <v>3</v>
      </c>
      <c r="BC241" s="8">
        <v>4</v>
      </c>
      <c r="BD241" s="8">
        <v>3</v>
      </c>
      <c r="BE241" s="6">
        <f>SUM(BA241+BB241+BC241+BD241)</f>
        <v>13</v>
      </c>
      <c r="BF241" s="8">
        <v>3</v>
      </c>
      <c r="BG241" s="8">
        <v>4</v>
      </c>
      <c r="BH241" s="8"/>
      <c r="BI241" s="136"/>
      <c r="BJ241" s="6">
        <f>SUM(BF241:BI241)</f>
        <v>7</v>
      </c>
      <c r="BK241" s="6">
        <f>SUM(AZ241+BE241+BJ241)</f>
        <v>32</v>
      </c>
      <c r="BL241" s="68">
        <f>SUM(BK241/AU241)</f>
        <v>0.84210526315789469</v>
      </c>
      <c r="BM241" s="523" t="s">
        <v>709</v>
      </c>
      <c r="BN241" s="524"/>
    </row>
    <row r="242" spans="2:67" ht="101.25" customHeight="1" outlineLevel="1" x14ac:dyDescent="0.2">
      <c r="B242" s="48"/>
      <c r="C242" s="381"/>
      <c r="D242" s="381"/>
      <c r="E242" s="381"/>
      <c r="F242" s="33"/>
      <c r="G242" s="64" t="s">
        <v>295</v>
      </c>
      <c r="H242" s="8" t="s">
        <v>19</v>
      </c>
      <c r="I242" s="65">
        <v>17</v>
      </c>
      <c r="J242" s="65"/>
      <c r="K242" s="65"/>
      <c r="L242" s="65"/>
      <c r="M242" s="65" t="s">
        <v>423</v>
      </c>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c r="AK242" s="65"/>
      <c r="AL242" s="65"/>
      <c r="AM242" s="65"/>
      <c r="AN242" s="65"/>
      <c r="AO242" s="65"/>
      <c r="AP242" s="65"/>
      <c r="AQ242" s="65"/>
      <c r="AR242" s="65"/>
      <c r="AS242" s="65"/>
      <c r="AT242" s="65"/>
      <c r="AU242" s="254">
        <v>22</v>
      </c>
      <c r="AV242" s="136" t="s">
        <v>362</v>
      </c>
      <c r="AW242" s="8">
        <v>2</v>
      </c>
      <c r="AX242" s="8">
        <v>1</v>
      </c>
      <c r="AY242" s="8">
        <v>2</v>
      </c>
      <c r="AZ242" s="107" t="s">
        <v>472</v>
      </c>
      <c r="BA242" s="8">
        <v>2</v>
      </c>
      <c r="BB242" s="8">
        <v>2</v>
      </c>
      <c r="BC242" s="8">
        <v>2</v>
      </c>
      <c r="BD242" s="8">
        <v>2</v>
      </c>
      <c r="BE242" s="6">
        <f>SUM(BA242+BB242+BC242+BD242)</f>
        <v>8</v>
      </c>
      <c r="BF242" s="8">
        <v>2</v>
      </c>
      <c r="BG242" s="8">
        <v>1</v>
      </c>
      <c r="BH242" s="136"/>
      <c r="BI242" s="136"/>
      <c r="BJ242" s="6">
        <f>SUM(BF242:BI242)</f>
        <v>3</v>
      </c>
      <c r="BK242" s="6">
        <v>17</v>
      </c>
      <c r="BL242" s="68">
        <f>SUM(BK242/AU242)</f>
        <v>0.77272727272727271</v>
      </c>
      <c r="BM242" s="525" t="s">
        <v>710</v>
      </c>
      <c r="BN242" s="526"/>
    </row>
    <row r="243" spans="2:67" ht="18" customHeight="1" x14ac:dyDescent="0.2">
      <c r="B243" s="429" t="s">
        <v>126</v>
      </c>
      <c r="C243" s="430"/>
      <c r="D243" s="430"/>
      <c r="E243" s="430"/>
      <c r="F243" s="430"/>
      <c r="G243" s="430"/>
      <c r="H243" s="430"/>
      <c r="I243" s="430"/>
      <c r="J243" s="430"/>
      <c r="K243" s="430"/>
      <c r="L243" s="430"/>
      <c r="M243" s="430"/>
      <c r="N243" s="430"/>
      <c r="O243" s="430"/>
      <c r="P243" s="430"/>
      <c r="Q243" s="430"/>
      <c r="R243" s="430"/>
      <c r="S243" s="430"/>
      <c r="T243" s="430"/>
      <c r="U243" s="430"/>
      <c r="V243" s="430"/>
      <c r="W243" s="430"/>
      <c r="X243" s="430"/>
      <c r="Y243" s="430"/>
      <c r="Z243" s="430"/>
      <c r="AA243" s="430"/>
      <c r="AB243" s="430"/>
      <c r="AC243" s="430"/>
      <c r="AD243" s="430"/>
      <c r="AE243" s="430"/>
      <c r="AF243" s="430"/>
      <c r="AG243" s="430"/>
      <c r="AH243" s="430"/>
      <c r="AI243" s="430"/>
      <c r="AJ243" s="430"/>
      <c r="AK243" s="430"/>
      <c r="AL243" s="430"/>
      <c r="AM243" s="430"/>
      <c r="AN243" s="430"/>
      <c r="AO243" s="430"/>
      <c r="AP243" s="430"/>
      <c r="AQ243" s="430"/>
      <c r="AR243" s="430"/>
      <c r="AS243" s="430"/>
      <c r="AT243" s="430"/>
      <c r="AU243" s="430"/>
      <c r="AV243" s="430"/>
      <c r="AW243" s="430"/>
      <c r="AX243" s="430"/>
      <c r="AY243" s="430"/>
      <c r="AZ243" s="430"/>
      <c r="BA243" s="430"/>
      <c r="BB243" s="430"/>
      <c r="BC243" s="430"/>
      <c r="BD243" s="430"/>
      <c r="BE243" s="430"/>
      <c r="BF243" s="430"/>
      <c r="BG243" s="430"/>
      <c r="BH243" s="430"/>
      <c r="BI243" s="430"/>
      <c r="BJ243" s="430"/>
      <c r="BK243" s="430"/>
      <c r="BL243" s="430"/>
      <c r="BM243" s="430"/>
      <c r="BN243" s="217"/>
    </row>
    <row r="244" spans="2:67" ht="31.5" customHeight="1" x14ac:dyDescent="0.2">
      <c r="B244" s="520" t="s">
        <v>102</v>
      </c>
      <c r="C244" s="521"/>
      <c r="D244" s="587" t="s">
        <v>127</v>
      </c>
      <c r="E244" s="588"/>
      <c r="F244" s="588"/>
      <c r="G244" s="588"/>
      <c r="H244" s="588"/>
      <c r="I244" s="588"/>
      <c r="J244" s="588"/>
      <c r="K244" s="588"/>
      <c r="L244" s="588"/>
      <c r="M244" s="588"/>
      <c r="N244" s="588"/>
      <c r="O244" s="588"/>
      <c r="P244" s="588"/>
      <c r="Q244" s="588"/>
      <c r="R244" s="588"/>
      <c r="S244" s="588"/>
      <c r="T244" s="588"/>
      <c r="U244" s="588"/>
      <c r="V244" s="588"/>
      <c r="W244" s="588"/>
      <c r="X244" s="588"/>
      <c r="Y244" s="588"/>
      <c r="Z244" s="588"/>
      <c r="AA244" s="588"/>
      <c r="AB244" s="588"/>
      <c r="AC244" s="588"/>
      <c r="AD244" s="588"/>
      <c r="AE244" s="588"/>
      <c r="AF244" s="588"/>
      <c r="AG244" s="588"/>
      <c r="AH244" s="588"/>
      <c r="AI244" s="588"/>
      <c r="AJ244" s="588"/>
      <c r="AK244" s="588"/>
      <c r="AL244" s="588"/>
      <c r="AM244" s="588"/>
      <c r="AN244" s="588"/>
      <c r="AO244" s="588"/>
      <c r="AP244" s="588"/>
      <c r="AQ244" s="588"/>
      <c r="AR244" s="588"/>
      <c r="AS244" s="588"/>
      <c r="AT244" s="588"/>
      <c r="AU244" s="588"/>
      <c r="AV244" s="588"/>
      <c r="AW244" s="588"/>
      <c r="AX244" s="588"/>
      <c r="AY244" s="588"/>
      <c r="AZ244" s="588"/>
      <c r="BA244" s="588"/>
      <c r="BB244" s="588"/>
      <c r="BC244" s="588"/>
      <c r="BD244" s="588"/>
      <c r="BE244" s="588"/>
      <c r="BF244" s="588"/>
      <c r="BG244" s="588"/>
      <c r="BH244" s="588"/>
      <c r="BI244" s="588"/>
      <c r="BJ244" s="588"/>
      <c r="BK244" s="588"/>
      <c r="BL244" s="588"/>
      <c r="BM244" s="588"/>
      <c r="BN244" s="589"/>
    </row>
    <row r="245" spans="2:67" ht="99.75" customHeight="1" x14ac:dyDescent="0.2">
      <c r="B245" s="48"/>
      <c r="C245" s="381"/>
      <c r="D245" s="381"/>
      <c r="E245" s="381"/>
      <c r="F245" s="64" t="s">
        <v>296</v>
      </c>
      <c r="G245" s="50"/>
      <c r="H245" s="8" t="s">
        <v>25</v>
      </c>
      <c r="I245" s="10">
        <v>216</v>
      </c>
      <c r="J245" s="10"/>
      <c r="K245" s="10"/>
      <c r="L245" s="10"/>
      <c r="M245" s="65" t="s">
        <v>428</v>
      </c>
      <c r="N245" s="65"/>
      <c r="O245" s="65"/>
      <c r="P245" s="65"/>
      <c r="Q245" s="65"/>
      <c r="R245" s="65"/>
      <c r="S245" s="65"/>
      <c r="T245" s="65"/>
      <c r="U245" s="65"/>
      <c r="V245" s="65" t="s">
        <v>527</v>
      </c>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5"/>
      <c r="AU245" s="262">
        <v>233</v>
      </c>
      <c r="AV245" s="13">
        <v>7</v>
      </c>
      <c r="AW245" s="13">
        <v>20</v>
      </c>
      <c r="AX245" s="247">
        <v>24</v>
      </c>
      <c r="AY245" s="155">
        <v>21</v>
      </c>
      <c r="AZ245" s="7">
        <f>SUM(AV245:AY245)</f>
        <v>72</v>
      </c>
      <c r="BA245" s="7">
        <v>30</v>
      </c>
      <c r="BB245" s="7">
        <v>32</v>
      </c>
      <c r="BC245" s="112">
        <f>+BC246+BC247+BC248+BC249+BC250+BC251</f>
        <v>15</v>
      </c>
      <c r="BD245" s="22">
        <v>10</v>
      </c>
      <c r="BE245" s="7">
        <f t="shared" ref="BE245:BE251" si="52">SUM(BA245+BB245+BC245+BD245)</f>
        <v>87</v>
      </c>
      <c r="BF245" s="5">
        <v>15</v>
      </c>
      <c r="BG245" s="5">
        <v>21</v>
      </c>
      <c r="BH245" s="5"/>
      <c r="BI245" s="5"/>
      <c r="BJ245" s="7">
        <f>SUM(BF245:BI245)</f>
        <v>36</v>
      </c>
      <c r="BK245" s="7">
        <f t="shared" ref="BK245:BK251" si="53">SUM(AZ245+BE245+BJ245)</f>
        <v>195</v>
      </c>
      <c r="BL245" s="41">
        <f t="shared" ref="BL245:BL251" si="54">SUM(BK245/AU245)</f>
        <v>0.83690987124463523</v>
      </c>
      <c r="BM245" s="3"/>
      <c r="BN245" s="3"/>
      <c r="BO245" s="61">
        <f>9+8+9+7</f>
        <v>33</v>
      </c>
    </row>
    <row r="246" spans="2:67" ht="47.25" customHeight="1" outlineLevel="1" x14ac:dyDescent="0.2">
      <c r="B246" s="48"/>
      <c r="C246" s="381"/>
      <c r="D246" s="381"/>
      <c r="E246" s="381"/>
      <c r="F246" s="150"/>
      <c r="G246" s="64" t="s">
        <v>69</v>
      </c>
      <c r="H246" s="8" t="s">
        <v>25</v>
      </c>
      <c r="I246" s="65">
        <v>24</v>
      </c>
      <c r="J246" s="65"/>
      <c r="K246" s="65"/>
      <c r="L246" s="65"/>
      <c r="M246" s="65" t="s">
        <v>424</v>
      </c>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5"/>
      <c r="AU246" s="254">
        <v>28</v>
      </c>
      <c r="AV246" s="149">
        <v>2</v>
      </c>
      <c r="AW246" s="149">
        <v>2</v>
      </c>
      <c r="AX246" s="8">
        <v>2</v>
      </c>
      <c r="AY246" s="8">
        <v>2</v>
      </c>
      <c r="AZ246" s="6">
        <f>SUM(AV246:AY246)</f>
        <v>8</v>
      </c>
      <c r="BA246" s="6">
        <v>3</v>
      </c>
      <c r="BB246" s="6">
        <v>4</v>
      </c>
      <c r="BC246" s="8">
        <v>5</v>
      </c>
      <c r="BD246" s="114" t="s">
        <v>211</v>
      </c>
      <c r="BE246" s="6">
        <f t="shared" si="52"/>
        <v>12</v>
      </c>
      <c r="BF246" s="6">
        <v>2</v>
      </c>
      <c r="BG246" s="8">
        <v>2</v>
      </c>
      <c r="BH246" s="8"/>
      <c r="BI246" s="8"/>
      <c r="BJ246" s="6">
        <f t="shared" ref="BJ246:BJ248" si="55">SUM(BF246:BI246)</f>
        <v>4</v>
      </c>
      <c r="BK246" s="6">
        <f t="shared" si="53"/>
        <v>24</v>
      </c>
      <c r="BL246" s="68">
        <f t="shared" si="54"/>
        <v>0.8571428571428571</v>
      </c>
      <c r="BM246" s="12"/>
      <c r="BN246" s="12"/>
    </row>
    <row r="247" spans="2:67" ht="60.75" customHeight="1" outlineLevel="1" x14ac:dyDescent="0.2">
      <c r="B247" s="48"/>
      <c r="C247" s="381"/>
      <c r="D247" s="381"/>
      <c r="E247" s="381"/>
      <c r="F247" s="150"/>
      <c r="G247" s="64" t="s">
        <v>70</v>
      </c>
      <c r="H247" s="8" t="s">
        <v>25</v>
      </c>
      <c r="I247" s="65">
        <v>3</v>
      </c>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v>3</v>
      </c>
      <c r="AV247" s="136" t="s">
        <v>211</v>
      </c>
      <c r="AW247" s="8" t="s">
        <v>211</v>
      </c>
      <c r="AX247" s="8">
        <v>1</v>
      </c>
      <c r="AY247" s="133" t="s">
        <v>211</v>
      </c>
      <c r="AZ247" s="136" t="s">
        <v>362</v>
      </c>
      <c r="BA247" s="114" t="s">
        <v>211</v>
      </c>
      <c r="BB247" s="6">
        <v>1</v>
      </c>
      <c r="BC247" s="114" t="s">
        <v>211</v>
      </c>
      <c r="BD247" s="114" t="s">
        <v>211</v>
      </c>
      <c r="BE247" s="6">
        <f t="shared" si="52"/>
        <v>1</v>
      </c>
      <c r="BF247" s="111" t="s">
        <v>211</v>
      </c>
      <c r="BG247" s="8">
        <v>1</v>
      </c>
      <c r="BH247" s="8"/>
      <c r="BI247" s="8"/>
      <c r="BJ247" s="111" t="s">
        <v>362</v>
      </c>
      <c r="BK247" s="6">
        <f t="shared" si="53"/>
        <v>3</v>
      </c>
      <c r="BL247" s="284">
        <f t="shared" si="54"/>
        <v>1</v>
      </c>
      <c r="BM247" s="12"/>
      <c r="BN247" s="12"/>
    </row>
    <row r="248" spans="2:67" ht="62.25" customHeight="1" outlineLevel="1" x14ac:dyDescent="0.2">
      <c r="B248" s="48"/>
      <c r="C248" s="381"/>
      <c r="D248" s="381"/>
      <c r="E248" s="381"/>
      <c r="F248" s="150"/>
      <c r="G248" s="64" t="s">
        <v>71</v>
      </c>
      <c r="H248" s="8" t="s">
        <v>25</v>
      </c>
      <c r="I248" s="65">
        <v>150</v>
      </c>
      <c r="J248" s="65"/>
      <c r="K248" s="65"/>
      <c r="L248" s="65"/>
      <c r="M248" s="65" t="s">
        <v>426</v>
      </c>
      <c r="N248" s="65"/>
      <c r="O248" s="65"/>
      <c r="P248" s="65"/>
      <c r="Q248" s="65"/>
      <c r="R248" s="65"/>
      <c r="S248" s="65"/>
      <c r="T248" s="65"/>
      <c r="U248" s="65"/>
      <c r="V248" s="65" t="s">
        <v>527</v>
      </c>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254">
        <v>159</v>
      </c>
      <c r="AV248" s="149">
        <v>5</v>
      </c>
      <c r="AW248" s="8">
        <v>15</v>
      </c>
      <c r="AX248" s="8">
        <v>15</v>
      </c>
      <c r="AY248" s="8">
        <v>15</v>
      </c>
      <c r="AZ248" s="6">
        <f>SUM(AV248:AY248)</f>
        <v>50</v>
      </c>
      <c r="BA248" s="74">
        <v>23</v>
      </c>
      <c r="BB248" s="74">
        <v>24</v>
      </c>
      <c r="BC248" s="74">
        <v>6</v>
      </c>
      <c r="BD248" s="74">
        <v>6</v>
      </c>
      <c r="BE248" s="6">
        <f t="shared" si="52"/>
        <v>59</v>
      </c>
      <c r="BF248" s="8">
        <v>12</v>
      </c>
      <c r="BG248" s="8">
        <v>15</v>
      </c>
      <c r="BH248" s="8"/>
      <c r="BI248" s="8"/>
      <c r="BJ248" s="6">
        <f t="shared" si="55"/>
        <v>27</v>
      </c>
      <c r="BK248" s="6">
        <f t="shared" si="53"/>
        <v>136</v>
      </c>
      <c r="BL248" s="68">
        <f t="shared" si="54"/>
        <v>0.85534591194968557</v>
      </c>
      <c r="BM248" s="12"/>
      <c r="BN248" s="12"/>
    </row>
    <row r="249" spans="2:67" ht="72" customHeight="1" outlineLevel="1" x14ac:dyDescent="0.2">
      <c r="B249" s="48"/>
      <c r="C249" s="381"/>
      <c r="D249" s="381"/>
      <c r="E249" s="381"/>
      <c r="F249" s="150"/>
      <c r="G249" s="64" t="s">
        <v>72</v>
      </c>
      <c r="H249" s="8" t="s">
        <v>25</v>
      </c>
      <c r="I249" s="65">
        <v>15</v>
      </c>
      <c r="J249" s="65"/>
      <c r="K249" s="65"/>
      <c r="L249" s="65"/>
      <c r="M249" s="65" t="s">
        <v>420</v>
      </c>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5"/>
      <c r="AK249" s="65"/>
      <c r="AL249" s="65"/>
      <c r="AM249" s="65"/>
      <c r="AN249" s="65"/>
      <c r="AO249" s="65"/>
      <c r="AP249" s="65"/>
      <c r="AQ249" s="65"/>
      <c r="AR249" s="65"/>
      <c r="AS249" s="65"/>
      <c r="AT249" s="65"/>
      <c r="AU249" s="254">
        <v>16</v>
      </c>
      <c r="AV249" s="133" t="s">
        <v>211</v>
      </c>
      <c r="AW249" s="149">
        <v>1</v>
      </c>
      <c r="AX249" s="8">
        <v>2</v>
      </c>
      <c r="AY249" s="8">
        <v>2</v>
      </c>
      <c r="AZ249" s="133" t="s">
        <v>372</v>
      </c>
      <c r="BA249" s="74">
        <v>1</v>
      </c>
      <c r="BB249" s="74">
        <v>1</v>
      </c>
      <c r="BC249" s="74">
        <v>2</v>
      </c>
      <c r="BD249" s="74">
        <v>2</v>
      </c>
      <c r="BE249" s="133">
        <f t="shared" si="52"/>
        <v>6</v>
      </c>
      <c r="BF249" s="111" t="s">
        <v>211</v>
      </c>
      <c r="BG249" s="133" t="s">
        <v>362</v>
      </c>
      <c r="BH249" s="133"/>
      <c r="BI249" s="133"/>
      <c r="BJ249" s="111" t="s">
        <v>362</v>
      </c>
      <c r="BK249" s="133">
        <f t="shared" si="53"/>
        <v>12</v>
      </c>
      <c r="BL249" s="232">
        <f t="shared" si="54"/>
        <v>0.75</v>
      </c>
      <c r="BM249" s="12"/>
      <c r="BN249" s="46"/>
    </row>
    <row r="250" spans="2:67" ht="41.25" customHeight="1" outlineLevel="1" x14ac:dyDescent="0.2">
      <c r="B250" s="48"/>
      <c r="C250" s="381"/>
      <c r="D250" s="381"/>
      <c r="E250" s="381"/>
      <c r="F250" s="150"/>
      <c r="G250" s="64" t="s">
        <v>73</v>
      </c>
      <c r="H250" s="8" t="s">
        <v>25</v>
      </c>
      <c r="I250" s="65">
        <v>9</v>
      </c>
      <c r="J250" s="65"/>
      <c r="K250" s="65"/>
      <c r="L250" s="65"/>
      <c r="M250" s="65" t="s">
        <v>420</v>
      </c>
      <c r="N250" s="65"/>
      <c r="O250" s="65"/>
      <c r="P250" s="65"/>
      <c r="Q250" s="65"/>
      <c r="R250" s="65"/>
      <c r="S250" s="65"/>
      <c r="T250" s="65"/>
      <c r="U250" s="65"/>
      <c r="V250" s="65"/>
      <c r="W250" s="65"/>
      <c r="X250" s="65"/>
      <c r="Y250" s="65"/>
      <c r="Z250" s="65"/>
      <c r="AA250" s="65"/>
      <c r="AB250" s="65"/>
      <c r="AC250" s="65"/>
      <c r="AD250" s="65"/>
      <c r="AE250" s="65"/>
      <c r="AF250" s="65"/>
      <c r="AG250" s="65"/>
      <c r="AH250" s="65"/>
      <c r="AI250" s="65"/>
      <c r="AJ250" s="65"/>
      <c r="AK250" s="65"/>
      <c r="AL250" s="65"/>
      <c r="AM250" s="65"/>
      <c r="AN250" s="65"/>
      <c r="AO250" s="65"/>
      <c r="AP250" s="65"/>
      <c r="AQ250" s="65"/>
      <c r="AR250" s="65"/>
      <c r="AS250" s="65"/>
      <c r="AT250" s="65"/>
      <c r="AU250" s="254">
        <v>10</v>
      </c>
      <c r="AV250" s="133" t="s">
        <v>211</v>
      </c>
      <c r="AW250" s="149">
        <v>1</v>
      </c>
      <c r="AX250" s="8">
        <v>1</v>
      </c>
      <c r="AY250" s="8">
        <v>1</v>
      </c>
      <c r="AZ250" s="133" t="s">
        <v>364</v>
      </c>
      <c r="BA250" s="74">
        <v>1</v>
      </c>
      <c r="BB250" s="74">
        <v>1</v>
      </c>
      <c r="BC250" s="74">
        <v>1</v>
      </c>
      <c r="BD250" s="74">
        <v>1</v>
      </c>
      <c r="BE250" s="133">
        <f t="shared" si="52"/>
        <v>4</v>
      </c>
      <c r="BF250" s="111" t="s">
        <v>211</v>
      </c>
      <c r="BG250" s="133" t="s">
        <v>362</v>
      </c>
      <c r="BH250" s="133"/>
      <c r="BI250" s="133"/>
      <c r="BJ250" s="111" t="s">
        <v>362</v>
      </c>
      <c r="BK250" s="133">
        <f t="shared" si="53"/>
        <v>8</v>
      </c>
      <c r="BL250" s="232">
        <f t="shared" si="54"/>
        <v>0.8</v>
      </c>
      <c r="BM250" s="12"/>
      <c r="BN250" s="94"/>
    </row>
    <row r="251" spans="2:67" ht="54" customHeight="1" outlineLevel="1" x14ac:dyDescent="0.2">
      <c r="B251" s="48"/>
      <c r="C251" s="381"/>
      <c r="D251" s="381"/>
      <c r="E251" s="381"/>
      <c r="F251" s="150"/>
      <c r="G251" s="64" t="s">
        <v>172</v>
      </c>
      <c r="H251" s="8" t="s">
        <v>25</v>
      </c>
      <c r="I251" s="65">
        <v>15</v>
      </c>
      <c r="J251" s="65"/>
      <c r="K251" s="65"/>
      <c r="L251" s="65"/>
      <c r="M251" s="65" t="s">
        <v>427</v>
      </c>
      <c r="N251" s="65"/>
      <c r="O251" s="65"/>
      <c r="P251" s="65"/>
      <c r="Q251" s="65"/>
      <c r="R251" s="65"/>
      <c r="S251" s="65"/>
      <c r="T251" s="65"/>
      <c r="U251" s="65"/>
      <c r="V251" s="65"/>
      <c r="W251" s="65"/>
      <c r="X251" s="65"/>
      <c r="Y251" s="65"/>
      <c r="Z251" s="65"/>
      <c r="AA251" s="65"/>
      <c r="AB251" s="65"/>
      <c r="AC251" s="65"/>
      <c r="AD251" s="65"/>
      <c r="AE251" s="65"/>
      <c r="AF251" s="65"/>
      <c r="AG251" s="65"/>
      <c r="AH251" s="65"/>
      <c r="AI251" s="65"/>
      <c r="AJ251" s="65"/>
      <c r="AK251" s="65"/>
      <c r="AL251" s="65"/>
      <c r="AM251" s="65"/>
      <c r="AN251" s="65"/>
      <c r="AO251" s="65"/>
      <c r="AP251" s="65"/>
      <c r="AQ251" s="65"/>
      <c r="AR251" s="65"/>
      <c r="AS251" s="65"/>
      <c r="AT251" s="65"/>
      <c r="AU251" s="254">
        <v>17</v>
      </c>
      <c r="AV251" s="133" t="s">
        <v>211</v>
      </c>
      <c r="AW251" s="149">
        <v>1</v>
      </c>
      <c r="AX251" s="8">
        <v>3</v>
      </c>
      <c r="AY251" s="8">
        <v>1</v>
      </c>
      <c r="AZ251" s="133" t="s">
        <v>372</v>
      </c>
      <c r="BA251" s="74">
        <v>2</v>
      </c>
      <c r="BB251" s="74">
        <v>1</v>
      </c>
      <c r="BC251" s="74">
        <v>1</v>
      </c>
      <c r="BD251" s="74">
        <v>1</v>
      </c>
      <c r="BE251" s="133">
        <f t="shared" si="52"/>
        <v>5</v>
      </c>
      <c r="BF251" s="8">
        <v>1</v>
      </c>
      <c r="BG251" s="133" t="s">
        <v>362</v>
      </c>
      <c r="BH251" s="133"/>
      <c r="BI251" s="133"/>
      <c r="BJ251" s="133" t="s">
        <v>360</v>
      </c>
      <c r="BK251" s="133">
        <f t="shared" si="53"/>
        <v>12</v>
      </c>
      <c r="BL251" s="232">
        <f t="shared" si="54"/>
        <v>0.70588235294117652</v>
      </c>
      <c r="BM251" s="12"/>
      <c r="BN251" s="55"/>
    </row>
    <row r="252" spans="2:67" ht="20.25" customHeight="1" x14ac:dyDescent="0.2">
      <c r="B252" s="429" t="s">
        <v>229</v>
      </c>
      <c r="C252" s="430"/>
      <c r="D252" s="430"/>
      <c r="E252" s="430"/>
      <c r="F252" s="430"/>
      <c r="G252" s="430"/>
      <c r="H252" s="430"/>
      <c r="I252" s="430"/>
      <c r="J252" s="430"/>
      <c r="K252" s="430"/>
      <c r="L252" s="430"/>
      <c r="M252" s="430"/>
      <c r="N252" s="430"/>
      <c r="O252" s="430"/>
      <c r="P252" s="430"/>
      <c r="Q252" s="430"/>
      <c r="R252" s="430"/>
      <c r="S252" s="430"/>
      <c r="T252" s="430"/>
      <c r="U252" s="430"/>
      <c r="V252" s="430"/>
      <c r="W252" s="430"/>
      <c r="X252" s="430"/>
      <c r="Y252" s="430"/>
      <c r="Z252" s="430"/>
      <c r="AA252" s="430"/>
      <c r="AB252" s="430"/>
      <c r="AC252" s="430"/>
      <c r="AD252" s="430"/>
      <c r="AE252" s="430"/>
      <c r="AF252" s="430"/>
      <c r="AG252" s="430"/>
      <c r="AH252" s="430"/>
      <c r="AI252" s="430"/>
      <c r="AJ252" s="430"/>
      <c r="AK252" s="430"/>
      <c r="AL252" s="430"/>
      <c r="AM252" s="430"/>
      <c r="AN252" s="430"/>
      <c r="AO252" s="430"/>
      <c r="AP252" s="430"/>
      <c r="AQ252" s="430"/>
      <c r="AR252" s="430"/>
      <c r="AS252" s="430"/>
      <c r="AT252" s="430"/>
      <c r="AU252" s="430"/>
      <c r="AV252" s="430"/>
      <c r="AW252" s="430"/>
      <c r="AX252" s="430"/>
      <c r="AY252" s="430"/>
      <c r="AZ252" s="430"/>
      <c r="BA252" s="430"/>
      <c r="BB252" s="430"/>
      <c r="BC252" s="430"/>
      <c r="BD252" s="430"/>
      <c r="BE252" s="430"/>
      <c r="BF252" s="430"/>
      <c r="BG252" s="430"/>
      <c r="BH252" s="430"/>
      <c r="BI252" s="430"/>
      <c r="BJ252" s="430"/>
      <c r="BK252" s="430"/>
      <c r="BL252" s="430"/>
      <c r="BM252" s="430"/>
      <c r="BN252" s="217"/>
    </row>
    <row r="253" spans="2:67" ht="72.75" customHeight="1" x14ac:dyDescent="0.2">
      <c r="B253" s="48"/>
      <c r="C253" s="592"/>
      <c r="D253" s="593"/>
      <c r="E253" s="594"/>
      <c r="F253" s="64" t="s">
        <v>297</v>
      </c>
      <c r="G253" s="143"/>
      <c r="H253" s="19" t="s">
        <v>28</v>
      </c>
      <c r="I253" s="154">
        <v>22</v>
      </c>
      <c r="J253" s="154"/>
      <c r="K253" s="154"/>
      <c r="L253" s="179"/>
      <c r="M253" s="65" t="s">
        <v>431</v>
      </c>
      <c r="N253" s="65"/>
      <c r="O253" s="65"/>
      <c r="P253" s="65"/>
      <c r="Q253" s="65"/>
      <c r="R253" s="65"/>
      <c r="S253" s="65"/>
      <c r="T253" s="65"/>
      <c r="U253" s="65"/>
      <c r="V253" s="10" t="s">
        <v>529</v>
      </c>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262">
        <v>33</v>
      </c>
      <c r="AV253" s="135" t="s">
        <v>211</v>
      </c>
      <c r="AW253" s="13">
        <v>1</v>
      </c>
      <c r="AX253" s="247">
        <v>2</v>
      </c>
      <c r="AY253" s="135" t="s">
        <v>211</v>
      </c>
      <c r="AZ253" s="7">
        <f>SUM(AV253:AY253)</f>
        <v>3</v>
      </c>
      <c r="BA253" s="7">
        <v>3</v>
      </c>
      <c r="BB253" s="7">
        <f>+BB254+BB255</f>
        <v>2</v>
      </c>
      <c r="BC253" s="5">
        <f>+BC254+BC255</f>
        <v>10</v>
      </c>
      <c r="BD253" s="5">
        <f>+BD254+BD255</f>
        <v>5</v>
      </c>
      <c r="BE253" s="7">
        <f>SUM(BA253+BB253+BC253+BD253)</f>
        <v>20</v>
      </c>
      <c r="BF253" s="7">
        <v>5</v>
      </c>
      <c r="BG253" s="7">
        <v>1</v>
      </c>
      <c r="BH253" s="7"/>
      <c r="BI253" s="135"/>
      <c r="BJ253" s="7">
        <f>SUM(BF253:BI253)</f>
        <v>6</v>
      </c>
      <c r="BK253" s="7">
        <f>SUM(AZ253+BE253+BJ253)</f>
        <v>29</v>
      </c>
      <c r="BL253" s="41">
        <f>SUM(BK253/AU253)</f>
        <v>0.87878787878787878</v>
      </c>
      <c r="BM253" s="3"/>
      <c r="BN253" s="55"/>
      <c r="BO253" s="61">
        <f>0+0+2+0</f>
        <v>2</v>
      </c>
    </row>
    <row r="254" spans="2:67" ht="98.25" customHeight="1" outlineLevel="1" x14ac:dyDescent="0.2">
      <c r="B254" s="48"/>
      <c r="C254" s="381"/>
      <c r="D254" s="381"/>
      <c r="E254" s="381"/>
      <c r="F254" s="64"/>
      <c r="G254" s="64" t="s">
        <v>74</v>
      </c>
      <c r="H254" s="19" t="s">
        <v>28</v>
      </c>
      <c r="I254" s="65">
        <v>14</v>
      </c>
      <c r="J254" s="65"/>
      <c r="K254" s="65"/>
      <c r="L254" s="65"/>
      <c r="M254" s="65" t="s">
        <v>429</v>
      </c>
      <c r="N254" s="65"/>
      <c r="O254" s="65"/>
      <c r="Q254" s="10"/>
      <c r="R254" s="10" t="s">
        <v>420</v>
      </c>
      <c r="S254" s="10"/>
      <c r="T254" s="10"/>
      <c r="U254" s="10"/>
      <c r="V254" s="10" t="s">
        <v>417</v>
      </c>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254">
        <v>15</v>
      </c>
      <c r="AV254" s="133" t="s">
        <v>211</v>
      </c>
      <c r="AW254" s="133" t="s">
        <v>211</v>
      </c>
      <c r="AX254" s="19">
        <v>2</v>
      </c>
      <c r="AY254" s="133" t="s">
        <v>211</v>
      </c>
      <c r="AZ254" s="133" t="s">
        <v>360</v>
      </c>
      <c r="BA254" s="114" t="s">
        <v>211</v>
      </c>
      <c r="BB254" s="6">
        <v>1</v>
      </c>
      <c r="BC254" s="8">
        <v>2</v>
      </c>
      <c r="BD254" s="8">
        <v>1</v>
      </c>
      <c r="BE254" s="133">
        <f>SUM(BA254+BB254+BC254+BD254)</f>
        <v>4</v>
      </c>
      <c r="BF254" s="6">
        <v>5</v>
      </c>
      <c r="BG254" s="133" t="s">
        <v>362</v>
      </c>
      <c r="BH254" s="133"/>
      <c r="BI254" s="133"/>
      <c r="BJ254" s="133" t="s">
        <v>472</v>
      </c>
      <c r="BK254" s="133">
        <f>SUM(AZ254+BE254+BJ254)</f>
        <v>12</v>
      </c>
      <c r="BL254" s="41">
        <f>SUM(BK254/AU254)</f>
        <v>0.8</v>
      </c>
      <c r="BM254" s="517" t="s">
        <v>711</v>
      </c>
      <c r="BN254" s="522"/>
    </row>
    <row r="255" spans="2:67" ht="21.75" customHeight="1" outlineLevel="1" x14ac:dyDescent="0.2">
      <c r="B255" s="48"/>
      <c r="C255" s="410"/>
      <c r="D255" s="411"/>
      <c r="E255" s="412"/>
      <c r="F255" s="64"/>
      <c r="G255" s="64" t="s">
        <v>298</v>
      </c>
      <c r="H255" s="19" t="s">
        <v>28</v>
      </c>
      <c r="I255" s="65">
        <v>8</v>
      </c>
      <c r="J255" s="65"/>
      <c r="K255" s="65"/>
      <c r="L255" s="65"/>
      <c r="M255" s="65" t="s">
        <v>430</v>
      </c>
      <c r="N255" s="65"/>
      <c r="O255" s="65"/>
      <c r="Q255" s="10"/>
      <c r="R255" s="10" t="s">
        <v>420</v>
      </c>
      <c r="S255" s="10"/>
      <c r="T255" s="10"/>
      <c r="U255" s="10"/>
      <c r="V255" s="10" t="s">
        <v>528</v>
      </c>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254">
        <v>18</v>
      </c>
      <c r="AV255" s="136" t="s">
        <v>211</v>
      </c>
      <c r="AW255" s="133">
        <v>1</v>
      </c>
      <c r="AX255" s="133" t="s">
        <v>211</v>
      </c>
      <c r="AY255" s="133" t="s">
        <v>211</v>
      </c>
      <c r="AZ255" s="6">
        <f>SUM(AV255:AY255)</f>
        <v>1</v>
      </c>
      <c r="BA255" s="6">
        <v>3</v>
      </c>
      <c r="BB255" s="6">
        <v>1</v>
      </c>
      <c r="BC255" s="8">
        <v>8</v>
      </c>
      <c r="BD255" s="8">
        <v>4</v>
      </c>
      <c r="BE255" s="6">
        <f>SUM(BA255+BB255+BC255+BD255)</f>
        <v>16</v>
      </c>
      <c r="BF255" s="107" t="s">
        <v>211</v>
      </c>
      <c r="BG255" s="107" t="s">
        <v>211</v>
      </c>
      <c r="BH255" s="6"/>
      <c r="BI255" s="133"/>
      <c r="BJ255" s="6">
        <f>SUM(BF255:BI255)</f>
        <v>0</v>
      </c>
      <c r="BK255" s="6">
        <f>SUM(AZ255+BE255+BJ255)</f>
        <v>17</v>
      </c>
      <c r="BL255" s="68">
        <f>SUM(BK255/AU255)</f>
        <v>0.94444444444444442</v>
      </c>
      <c r="BM255" s="3"/>
      <c r="BN255" s="55"/>
    </row>
    <row r="256" spans="2:67" ht="74.25" customHeight="1" x14ac:dyDescent="0.2">
      <c r="B256" s="48"/>
      <c r="C256" s="381"/>
      <c r="D256" s="381"/>
      <c r="E256" s="381"/>
      <c r="F256" s="64" t="s">
        <v>299</v>
      </c>
      <c r="G256" s="143"/>
      <c r="H256" s="19" t="s">
        <v>25</v>
      </c>
      <c r="I256" s="10">
        <v>9</v>
      </c>
      <c r="J256" s="10"/>
      <c r="K256" s="10"/>
      <c r="L256" s="10"/>
      <c r="M256" s="10" t="s">
        <v>420</v>
      </c>
      <c r="N256" s="10"/>
      <c r="O256" s="10"/>
      <c r="P256" s="277"/>
      <c r="Q256" s="65"/>
      <c r="R256" s="65" t="s">
        <v>470</v>
      </c>
      <c r="S256" s="65"/>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5"/>
      <c r="AU256" s="252">
        <v>4</v>
      </c>
      <c r="AV256" s="271">
        <v>1</v>
      </c>
      <c r="AW256" s="122" t="s">
        <v>211</v>
      </c>
      <c r="AX256" s="122" t="s">
        <v>211</v>
      </c>
      <c r="AY256" s="5">
        <v>1</v>
      </c>
      <c r="AZ256" s="7">
        <f>SUM(AV256:AY256)</f>
        <v>2</v>
      </c>
      <c r="BA256" s="281" t="s">
        <v>211</v>
      </c>
      <c r="BB256" s="7">
        <v>1</v>
      </c>
      <c r="BC256" s="281" t="s">
        <v>211</v>
      </c>
      <c r="BD256" s="281" t="s">
        <v>211</v>
      </c>
      <c r="BE256" s="7">
        <f>SUM(BA256+BB256+BC256+BD256)</f>
        <v>1</v>
      </c>
      <c r="BF256" s="108" t="s">
        <v>211</v>
      </c>
      <c r="BG256" s="122" t="s">
        <v>362</v>
      </c>
      <c r="BH256" s="5"/>
      <c r="BI256" s="122"/>
      <c r="BJ256" s="7">
        <v>1</v>
      </c>
      <c r="BK256" s="7">
        <v>4</v>
      </c>
      <c r="BL256" s="298">
        <f>SUM(BK256/AU256)</f>
        <v>1</v>
      </c>
      <c r="BM256" s="517" t="s">
        <v>712</v>
      </c>
      <c r="BN256" s="522"/>
      <c r="BO256" s="118"/>
    </row>
    <row r="257" spans="2:68" s="181" customFormat="1" ht="18.75" customHeight="1" x14ac:dyDescent="0.2">
      <c r="B257" s="429" t="s">
        <v>124</v>
      </c>
      <c r="C257" s="430"/>
      <c r="D257" s="430"/>
      <c r="E257" s="430"/>
      <c r="F257" s="430"/>
      <c r="G257" s="430"/>
      <c r="H257" s="430"/>
      <c r="I257" s="430"/>
      <c r="J257" s="430"/>
      <c r="K257" s="430"/>
      <c r="L257" s="430"/>
      <c r="M257" s="430"/>
      <c r="N257" s="430"/>
      <c r="O257" s="430"/>
      <c r="P257" s="430"/>
      <c r="Q257" s="430"/>
      <c r="R257" s="430"/>
      <c r="S257" s="430"/>
      <c r="T257" s="430"/>
      <c r="U257" s="430"/>
      <c r="V257" s="430"/>
      <c r="W257" s="430"/>
      <c r="X257" s="430"/>
      <c r="Y257" s="430"/>
      <c r="Z257" s="430"/>
      <c r="AA257" s="430"/>
      <c r="AB257" s="430"/>
      <c r="AC257" s="430"/>
      <c r="AD257" s="430"/>
      <c r="AE257" s="430"/>
      <c r="AF257" s="430"/>
      <c r="AG257" s="430"/>
      <c r="AH257" s="430"/>
      <c r="AI257" s="430"/>
      <c r="AJ257" s="430"/>
      <c r="AK257" s="430"/>
      <c r="AL257" s="430"/>
      <c r="AM257" s="430"/>
      <c r="AN257" s="430"/>
      <c r="AO257" s="430"/>
      <c r="AP257" s="430"/>
      <c r="AQ257" s="430"/>
      <c r="AR257" s="430"/>
      <c r="AS257" s="430"/>
      <c r="AT257" s="430"/>
      <c r="AU257" s="430"/>
      <c r="AV257" s="430"/>
      <c r="AW257" s="430"/>
      <c r="AX257" s="430"/>
      <c r="AY257" s="430"/>
      <c r="AZ257" s="430"/>
      <c r="BA257" s="430"/>
      <c r="BB257" s="430"/>
      <c r="BC257" s="430"/>
      <c r="BD257" s="430"/>
      <c r="BE257" s="430"/>
      <c r="BF257" s="430"/>
      <c r="BG257" s="430"/>
      <c r="BH257" s="430"/>
      <c r="BI257" s="430"/>
      <c r="BJ257" s="430"/>
      <c r="BK257" s="430"/>
      <c r="BL257" s="430"/>
      <c r="BM257" s="430"/>
      <c r="BN257" s="217"/>
    </row>
    <row r="258" spans="2:68" s="181" customFormat="1" ht="14.25" customHeight="1" x14ac:dyDescent="0.2">
      <c r="B258" s="387" t="s">
        <v>102</v>
      </c>
      <c r="C258" s="387"/>
      <c r="D258" s="387"/>
      <c r="E258" s="387"/>
      <c r="F258" s="437" t="s">
        <v>125</v>
      </c>
      <c r="G258" s="437"/>
      <c r="H258" s="437"/>
      <c r="I258" s="437"/>
      <c r="J258" s="437"/>
      <c r="K258" s="437"/>
      <c r="L258" s="437"/>
      <c r="M258" s="437"/>
      <c r="N258" s="437"/>
      <c r="O258" s="437"/>
      <c r="P258" s="437"/>
      <c r="Q258" s="437"/>
      <c r="R258" s="437"/>
      <c r="S258" s="437"/>
      <c r="T258" s="437"/>
      <c r="U258" s="437"/>
      <c r="V258" s="437"/>
      <c r="W258" s="437"/>
      <c r="X258" s="437"/>
      <c r="Y258" s="437"/>
      <c r="Z258" s="437"/>
      <c r="AA258" s="437"/>
      <c r="AB258" s="437"/>
      <c r="AC258" s="437"/>
      <c r="AD258" s="437"/>
      <c r="AE258" s="437"/>
      <c r="AF258" s="437"/>
      <c r="AG258" s="437"/>
      <c r="AH258" s="437"/>
      <c r="AI258" s="437"/>
      <c r="AJ258" s="437"/>
      <c r="AK258" s="437"/>
      <c r="AL258" s="437"/>
      <c r="AM258" s="437"/>
      <c r="AN258" s="437"/>
      <c r="AO258" s="437"/>
      <c r="AP258" s="437"/>
      <c r="AQ258" s="437"/>
      <c r="AR258" s="437"/>
      <c r="AS258" s="437"/>
      <c r="AT258" s="437"/>
      <c r="AU258" s="437"/>
      <c r="AV258" s="437"/>
      <c r="AW258" s="437"/>
      <c r="AX258" s="437"/>
      <c r="AY258" s="437"/>
      <c r="AZ258" s="437"/>
      <c r="BA258" s="437"/>
      <c r="BB258" s="437"/>
      <c r="BC258" s="437"/>
      <c r="BD258" s="437"/>
      <c r="BE258" s="437"/>
      <c r="BF258" s="437"/>
      <c r="BG258" s="437"/>
      <c r="BH258" s="437"/>
      <c r="BI258" s="437"/>
      <c r="BJ258" s="437"/>
      <c r="BK258" s="437"/>
      <c r="BL258" s="437"/>
      <c r="BM258" s="437"/>
      <c r="BN258" s="437"/>
    </row>
    <row r="259" spans="2:68" s="181" customFormat="1" ht="15" customHeight="1" x14ac:dyDescent="0.2">
      <c r="B259" s="387" t="s">
        <v>103</v>
      </c>
      <c r="C259" s="387"/>
      <c r="D259" s="387"/>
      <c r="E259" s="387"/>
      <c r="F259" s="427" t="s">
        <v>198</v>
      </c>
      <c r="G259" s="427"/>
      <c r="H259" s="427"/>
      <c r="I259" s="427"/>
      <c r="J259" s="427"/>
      <c r="K259" s="427"/>
      <c r="L259" s="427"/>
      <c r="M259" s="427"/>
      <c r="N259" s="427"/>
      <c r="O259" s="427"/>
      <c r="P259" s="427"/>
      <c r="Q259" s="427"/>
      <c r="R259" s="427"/>
      <c r="S259" s="427"/>
      <c r="T259" s="427"/>
      <c r="U259" s="427"/>
      <c r="V259" s="427"/>
      <c r="W259" s="427"/>
      <c r="X259" s="427"/>
      <c r="Y259" s="427"/>
      <c r="Z259" s="427"/>
      <c r="AA259" s="427"/>
      <c r="AB259" s="427"/>
      <c r="AC259" s="427"/>
      <c r="AD259" s="427"/>
      <c r="AE259" s="427"/>
      <c r="AF259" s="427"/>
      <c r="AG259" s="427"/>
      <c r="AH259" s="427"/>
      <c r="AI259" s="427"/>
      <c r="AJ259" s="427"/>
      <c r="AK259" s="427"/>
      <c r="AL259" s="427"/>
      <c r="AM259" s="427"/>
      <c r="AN259" s="427"/>
      <c r="AO259" s="427"/>
      <c r="AP259" s="427"/>
      <c r="AQ259" s="427"/>
      <c r="AR259" s="427"/>
      <c r="AS259" s="427"/>
      <c r="AT259" s="427"/>
      <c r="AU259" s="427"/>
      <c r="AV259" s="427"/>
      <c r="AW259" s="427"/>
      <c r="AX259" s="427"/>
      <c r="AY259" s="427"/>
      <c r="AZ259" s="427"/>
      <c r="BA259" s="427"/>
      <c r="BB259" s="427"/>
      <c r="BC259" s="427"/>
      <c r="BD259" s="427"/>
      <c r="BE259" s="427"/>
      <c r="BF259" s="427"/>
      <c r="BG259" s="427"/>
      <c r="BH259" s="427"/>
      <c r="BI259" s="427"/>
      <c r="BJ259" s="427"/>
      <c r="BK259" s="427"/>
      <c r="BL259" s="427"/>
      <c r="BM259" s="427"/>
      <c r="BN259" s="427"/>
    </row>
    <row r="260" spans="2:68" ht="21" customHeight="1" x14ac:dyDescent="0.2">
      <c r="B260" s="88"/>
      <c r="C260" s="413" t="s">
        <v>235</v>
      </c>
      <c r="D260" s="414"/>
      <c r="E260" s="414"/>
      <c r="F260" s="414"/>
      <c r="G260" s="414"/>
      <c r="H260" s="414"/>
      <c r="I260" s="414"/>
      <c r="J260" s="414"/>
      <c r="K260" s="414"/>
      <c r="L260" s="414"/>
      <c r="M260" s="414"/>
      <c r="N260" s="414"/>
      <c r="O260" s="414"/>
      <c r="P260" s="414"/>
      <c r="Q260" s="414"/>
      <c r="R260" s="414"/>
      <c r="S260" s="414"/>
      <c r="T260" s="414"/>
      <c r="U260" s="414"/>
      <c r="V260" s="414"/>
      <c r="W260" s="414"/>
      <c r="X260" s="414"/>
      <c r="Y260" s="414"/>
      <c r="Z260" s="414"/>
      <c r="AA260" s="414"/>
      <c r="AB260" s="414"/>
      <c r="AC260" s="414"/>
      <c r="AD260" s="414"/>
      <c r="AE260" s="414"/>
      <c r="AF260" s="414"/>
      <c r="AG260" s="414"/>
      <c r="AH260" s="414"/>
      <c r="AI260" s="414"/>
      <c r="AJ260" s="414"/>
      <c r="AK260" s="414"/>
      <c r="AL260" s="414"/>
      <c r="AM260" s="414"/>
      <c r="AN260" s="414"/>
      <c r="AO260" s="414"/>
      <c r="AP260" s="414"/>
      <c r="AQ260" s="414"/>
      <c r="AR260" s="414"/>
      <c r="AS260" s="414"/>
      <c r="AT260" s="414"/>
      <c r="AU260" s="414"/>
      <c r="AV260" s="414"/>
      <c r="AW260" s="414"/>
      <c r="AX260" s="414"/>
      <c r="AY260" s="414"/>
      <c r="AZ260" s="414"/>
      <c r="BA260" s="414"/>
      <c r="BB260" s="414"/>
      <c r="BC260" s="414"/>
      <c r="BD260" s="414"/>
      <c r="BE260" s="414"/>
      <c r="BF260" s="414"/>
      <c r="BG260" s="414"/>
      <c r="BH260" s="414"/>
      <c r="BI260" s="414"/>
      <c r="BJ260" s="414"/>
      <c r="BK260" s="414"/>
      <c r="BL260" s="414"/>
      <c r="BM260" s="414"/>
      <c r="BN260" s="415"/>
    </row>
    <row r="261" spans="2:68" ht="51" customHeight="1" x14ac:dyDescent="0.2">
      <c r="B261" s="184" t="s">
        <v>139</v>
      </c>
      <c r="C261" s="401" t="s">
        <v>94</v>
      </c>
      <c r="D261" s="402"/>
      <c r="E261" s="403"/>
      <c r="F261" s="185" t="s">
        <v>95</v>
      </c>
      <c r="G261" s="186" t="s">
        <v>4</v>
      </c>
      <c r="H261" s="187" t="s">
        <v>3</v>
      </c>
      <c r="I261" s="188" t="s">
        <v>96</v>
      </c>
      <c r="J261" s="207" t="s">
        <v>494</v>
      </c>
      <c r="K261" s="207" t="s">
        <v>495</v>
      </c>
      <c r="L261" s="207" t="s">
        <v>380</v>
      </c>
      <c r="M261" s="208" t="s">
        <v>381</v>
      </c>
      <c r="N261" s="207" t="s">
        <v>517</v>
      </c>
      <c r="O261" s="207" t="s">
        <v>518</v>
      </c>
      <c r="P261" s="207" t="s">
        <v>490</v>
      </c>
      <c r="Q261" s="208" t="s">
        <v>491</v>
      </c>
      <c r="R261" s="208" t="s">
        <v>492</v>
      </c>
      <c r="S261" s="208" t="s">
        <v>493</v>
      </c>
      <c r="T261" s="208" t="s">
        <v>519</v>
      </c>
      <c r="U261" s="208" t="s">
        <v>523</v>
      </c>
      <c r="V261" s="208" t="s">
        <v>525</v>
      </c>
      <c r="W261" s="208" t="s">
        <v>571</v>
      </c>
      <c r="X261" s="208" t="s">
        <v>538</v>
      </c>
      <c r="Y261" s="208" t="s">
        <v>553</v>
      </c>
      <c r="Z261" s="208" t="s">
        <v>554</v>
      </c>
      <c r="AA261" s="307" t="s">
        <v>581</v>
      </c>
      <c r="AB261" s="208" t="s">
        <v>570</v>
      </c>
      <c r="AC261" s="307" t="s">
        <v>564</v>
      </c>
      <c r="AD261" s="307" t="s">
        <v>582</v>
      </c>
      <c r="AE261" s="309" t="s">
        <v>578</v>
      </c>
      <c r="AF261" s="307" t="s">
        <v>635</v>
      </c>
      <c r="AG261" s="307" t="s">
        <v>590</v>
      </c>
      <c r="AH261" s="307" t="s">
        <v>606</v>
      </c>
      <c r="AI261" s="307" t="s">
        <v>636</v>
      </c>
      <c r="AJ261" s="307" t="s">
        <v>623</v>
      </c>
      <c r="AK261" s="307" t="s">
        <v>628</v>
      </c>
      <c r="AL261" s="307" t="s">
        <v>637</v>
      </c>
      <c r="AM261" s="307" t="s">
        <v>641</v>
      </c>
      <c r="AN261" s="307" t="s">
        <v>643</v>
      </c>
      <c r="AO261" s="307" t="s">
        <v>646</v>
      </c>
      <c r="AP261" s="307" t="s">
        <v>650</v>
      </c>
      <c r="AQ261" s="307" t="s">
        <v>689</v>
      </c>
      <c r="AR261" s="307" t="s">
        <v>697</v>
      </c>
      <c r="AS261" s="307" t="s">
        <v>725</v>
      </c>
      <c r="AT261" s="307" t="s">
        <v>729</v>
      </c>
      <c r="AU261" s="188" t="s">
        <v>150</v>
      </c>
      <c r="AV261" s="1" t="s">
        <v>5</v>
      </c>
      <c r="AW261" s="1" t="s">
        <v>6</v>
      </c>
      <c r="AX261" s="1" t="s">
        <v>7</v>
      </c>
      <c r="AY261" s="1" t="s">
        <v>8</v>
      </c>
      <c r="AZ261" s="34" t="s">
        <v>157</v>
      </c>
      <c r="BA261" s="2" t="s">
        <v>9</v>
      </c>
      <c r="BB261" s="2" t="s">
        <v>10</v>
      </c>
      <c r="BC261" s="2" t="s">
        <v>11</v>
      </c>
      <c r="BD261" s="2" t="s">
        <v>12</v>
      </c>
      <c r="BE261" s="34" t="s">
        <v>158</v>
      </c>
      <c r="BF261" s="2" t="s">
        <v>13</v>
      </c>
      <c r="BG261" s="2" t="s">
        <v>14</v>
      </c>
      <c r="BH261" s="2" t="s">
        <v>15</v>
      </c>
      <c r="BI261" s="2" t="s">
        <v>16</v>
      </c>
      <c r="BJ261" s="34" t="s">
        <v>159</v>
      </c>
      <c r="BK261" s="189" t="s">
        <v>97</v>
      </c>
      <c r="BL261" s="189" t="s">
        <v>98</v>
      </c>
      <c r="BM261" s="190" t="s">
        <v>256</v>
      </c>
      <c r="BN261" s="189" t="s">
        <v>99</v>
      </c>
    </row>
    <row r="262" spans="2:68" ht="110.25" customHeight="1" x14ac:dyDescent="0.2">
      <c r="B262" s="30">
        <v>2</v>
      </c>
      <c r="C262" s="470" t="s">
        <v>300</v>
      </c>
      <c r="D262" s="470"/>
      <c r="E262" s="470"/>
      <c r="F262" s="48"/>
      <c r="G262" s="204"/>
      <c r="H262" s="5" t="s">
        <v>19</v>
      </c>
      <c r="I262" s="47">
        <v>3191</v>
      </c>
      <c r="J262" s="10" t="s">
        <v>356</v>
      </c>
      <c r="K262" s="10"/>
      <c r="L262" s="10"/>
      <c r="M262" s="65" t="s">
        <v>436</v>
      </c>
      <c r="N262" s="65"/>
      <c r="O262" s="65"/>
      <c r="P262" s="65"/>
      <c r="Q262" s="65"/>
      <c r="R262" s="65"/>
      <c r="S262" s="65"/>
      <c r="T262" s="65"/>
      <c r="U262" s="65"/>
      <c r="V262" s="65" t="s">
        <v>532</v>
      </c>
      <c r="W262" s="65"/>
      <c r="X262" s="65"/>
      <c r="Y262" s="65"/>
      <c r="Z262" s="65"/>
      <c r="AA262" s="65"/>
      <c r="AB262" s="65"/>
      <c r="AC262" s="65"/>
      <c r="AD262" s="65"/>
      <c r="AE262" s="65"/>
      <c r="AF262" s="65"/>
      <c r="AG262" s="65"/>
      <c r="AH262" s="65"/>
      <c r="AI262" s="65"/>
      <c r="AJ262" s="65"/>
      <c r="AK262" s="65"/>
      <c r="AL262" s="65"/>
      <c r="AM262" s="65"/>
      <c r="AN262" s="65"/>
      <c r="AO262" s="65"/>
      <c r="AP262" s="65"/>
      <c r="AQ262" s="65"/>
      <c r="AR262" s="65"/>
      <c r="AS262" s="65"/>
      <c r="AT262" s="65"/>
      <c r="AU262" s="234">
        <v>3370</v>
      </c>
      <c r="AV262" s="67">
        <f>+AV263+AV267</f>
        <v>372</v>
      </c>
      <c r="AW262" s="67">
        <f>+AW263+AW267</f>
        <v>414</v>
      </c>
      <c r="AX262" s="67">
        <f>+AX263+AX267</f>
        <v>432</v>
      </c>
      <c r="AY262" s="67">
        <f>+AY263+AY267</f>
        <v>310</v>
      </c>
      <c r="AZ262" s="47">
        <f>SUM(AZ263+AZ267)</f>
        <v>1528</v>
      </c>
      <c r="BA262" s="47">
        <f>SUM(BA263+BA267)</f>
        <v>276</v>
      </c>
      <c r="BB262" s="47">
        <f>+BB263+BB267</f>
        <v>253</v>
      </c>
      <c r="BC262" s="47">
        <f>+BC263+BC267</f>
        <v>230</v>
      </c>
      <c r="BD262" s="47">
        <f>+BD263+BD267</f>
        <v>226</v>
      </c>
      <c r="BE262" s="47">
        <f t="shared" ref="BE262:BE269" si="56">SUM(BA262+BB262+BC262+BD262)</f>
        <v>985</v>
      </c>
      <c r="BF262" s="47">
        <f>+BF263+BF267</f>
        <v>228</v>
      </c>
      <c r="BG262" s="47">
        <f>+BG263+BG267</f>
        <v>199</v>
      </c>
      <c r="BH262" s="47"/>
      <c r="BI262" s="47"/>
      <c r="BJ262" s="47">
        <f>SUM(BF262:BI262)</f>
        <v>427</v>
      </c>
      <c r="BK262" s="47">
        <f>SUM(AZ262+BE262+BJ262)</f>
        <v>2940</v>
      </c>
      <c r="BL262" s="41">
        <f t="shared" ref="BL262:BL269" si="57">SUM(BK262/AU262)</f>
        <v>0.87240356083086057</v>
      </c>
      <c r="BM262" s="3">
        <v>34629981</v>
      </c>
      <c r="BN262" s="258" t="s">
        <v>663</v>
      </c>
      <c r="BO262" s="61">
        <f>403+402+403+403</f>
        <v>1611</v>
      </c>
      <c r="BP262" s="223"/>
    </row>
    <row r="263" spans="2:68" ht="89.25" customHeight="1" outlineLevel="1" x14ac:dyDescent="0.2">
      <c r="B263" s="48"/>
      <c r="C263" s="381"/>
      <c r="D263" s="381"/>
      <c r="E263" s="381"/>
      <c r="F263" s="64" t="s">
        <v>304</v>
      </c>
      <c r="G263" s="283"/>
      <c r="H263" s="5" t="s">
        <v>25</v>
      </c>
      <c r="I263" s="10">
        <v>2806</v>
      </c>
      <c r="J263" s="10"/>
      <c r="K263" s="10"/>
      <c r="L263" s="10"/>
      <c r="M263" s="65" t="s">
        <v>434</v>
      </c>
      <c r="N263" s="65"/>
      <c r="O263" s="65"/>
      <c r="P263" s="65"/>
      <c r="Q263" s="65"/>
      <c r="R263" s="65"/>
      <c r="S263" s="65"/>
      <c r="T263" s="65"/>
      <c r="U263" s="65"/>
      <c r="V263" s="65" t="s">
        <v>532</v>
      </c>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256">
        <v>3068</v>
      </c>
      <c r="AV263" s="10">
        <v>343</v>
      </c>
      <c r="AW263" s="10">
        <v>379</v>
      </c>
      <c r="AX263" s="10">
        <v>397</v>
      </c>
      <c r="AY263" s="10">
        <v>277</v>
      </c>
      <c r="AZ263" s="47">
        <f t="shared" ref="AZ263:AZ269" si="58">SUM(AV263:AY263)</f>
        <v>1396</v>
      </c>
      <c r="BA263" s="10">
        <v>244</v>
      </c>
      <c r="BB263" s="10">
        <v>222</v>
      </c>
      <c r="BC263" s="10">
        <v>208</v>
      </c>
      <c r="BD263" s="10">
        <v>205</v>
      </c>
      <c r="BE263" s="47">
        <f t="shared" si="56"/>
        <v>879</v>
      </c>
      <c r="BF263" s="10">
        <v>207</v>
      </c>
      <c r="BG263" s="10">
        <v>181</v>
      </c>
      <c r="BH263" s="10"/>
      <c r="BI263" s="10"/>
      <c r="BJ263" s="47">
        <f t="shared" ref="BJ263:BJ268" si="59">SUM(BF263:BI263)</f>
        <v>388</v>
      </c>
      <c r="BK263" s="47">
        <f>SUM(AZ263+BE263+BJ263)</f>
        <v>2663</v>
      </c>
      <c r="BL263" s="41">
        <f t="shared" si="57"/>
        <v>0.86799217731421119</v>
      </c>
      <c r="BM263" s="3"/>
      <c r="BN263" s="91"/>
      <c r="BO263" s="61">
        <f>403+402+403+403</f>
        <v>1611</v>
      </c>
      <c r="BP263" s="223"/>
    </row>
    <row r="264" spans="2:68" ht="60.75" customHeight="1" outlineLevel="2" x14ac:dyDescent="0.2">
      <c r="B264" s="48"/>
      <c r="C264" s="381"/>
      <c r="D264" s="381"/>
      <c r="E264" s="381"/>
      <c r="F264" s="151"/>
      <c r="G264" s="16" t="s">
        <v>173</v>
      </c>
      <c r="H264" s="8" t="s">
        <v>25</v>
      </c>
      <c r="I264" s="65">
        <v>1000</v>
      </c>
      <c r="J264" s="65"/>
      <c r="K264" s="65"/>
      <c r="L264" s="65"/>
      <c r="M264" s="65" t="s">
        <v>432</v>
      </c>
      <c r="N264" s="65"/>
      <c r="O264" s="65"/>
      <c r="P264" s="65"/>
      <c r="Q264" s="65"/>
      <c r="R264" s="65"/>
      <c r="S264" s="65"/>
      <c r="T264" s="65"/>
      <c r="U264" s="65"/>
      <c r="V264" s="65" t="s">
        <v>530</v>
      </c>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5"/>
      <c r="AU264" s="257">
        <v>1262</v>
      </c>
      <c r="AV264" s="8">
        <v>184</v>
      </c>
      <c r="AW264" s="8">
        <v>226</v>
      </c>
      <c r="AX264" s="8">
        <v>246</v>
      </c>
      <c r="AY264" s="8">
        <v>128</v>
      </c>
      <c r="AZ264" s="6">
        <f t="shared" si="58"/>
        <v>784</v>
      </c>
      <c r="BA264" s="8">
        <v>75</v>
      </c>
      <c r="BB264" s="8">
        <v>61</v>
      </c>
      <c r="BC264" s="8">
        <v>57</v>
      </c>
      <c r="BD264" s="8">
        <v>60</v>
      </c>
      <c r="BE264" s="6">
        <f>SUM(BA264+BB264+BC264+BD264)</f>
        <v>253</v>
      </c>
      <c r="BF264" s="8">
        <v>52</v>
      </c>
      <c r="BG264" s="8">
        <v>43</v>
      </c>
      <c r="BH264" s="8"/>
      <c r="BI264" s="8"/>
      <c r="BJ264" s="6">
        <f t="shared" si="59"/>
        <v>95</v>
      </c>
      <c r="BK264" s="97">
        <f t="shared" ref="BK264:BK269" si="60">SUM(AZ264+BE264+BJ264)</f>
        <v>1132</v>
      </c>
      <c r="BL264" s="68">
        <f t="shared" si="57"/>
        <v>0.89698890649762286</v>
      </c>
      <c r="BM264" s="517" t="s">
        <v>720</v>
      </c>
      <c r="BN264" s="518"/>
    </row>
    <row r="265" spans="2:68" ht="85.5" customHeight="1" outlineLevel="2" x14ac:dyDescent="0.2">
      <c r="B265" s="48"/>
      <c r="C265" s="381"/>
      <c r="D265" s="381"/>
      <c r="E265" s="381"/>
      <c r="F265" s="151"/>
      <c r="G265" s="16" t="s">
        <v>174</v>
      </c>
      <c r="H265" s="8" t="s">
        <v>25</v>
      </c>
      <c r="I265" s="65">
        <v>200</v>
      </c>
      <c r="J265" s="65"/>
      <c r="K265" s="65"/>
      <c r="L265" s="65"/>
      <c r="M265" s="65" t="s">
        <v>433</v>
      </c>
      <c r="N265" s="65"/>
      <c r="O265" s="65"/>
      <c r="P265" s="65"/>
      <c r="Q265" s="65"/>
      <c r="R265" s="65"/>
      <c r="S265" s="65"/>
      <c r="T265" s="65"/>
      <c r="U265" s="65"/>
      <c r="V265" s="65" t="s">
        <v>531</v>
      </c>
      <c r="W265" s="65"/>
      <c r="X265" s="65"/>
      <c r="Y265" s="65"/>
      <c r="Z265" s="65"/>
      <c r="AA265" s="65"/>
      <c r="AB265" s="65"/>
      <c r="AC265" s="65"/>
      <c r="AD265" s="65"/>
      <c r="AE265" s="65"/>
      <c r="AF265" s="65"/>
      <c r="AG265" s="65"/>
      <c r="AH265" s="65"/>
      <c r="AI265" s="65"/>
      <c r="AJ265" s="65"/>
      <c r="AK265" s="65"/>
      <c r="AL265" s="65"/>
      <c r="AM265" s="65"/>
      <c r="AN265" s="65"/>
      <c r="AO265" s="65"/>
      <c r="AP265" s="65"/>
      <c r="AQ265" s="65"/>
      <c r="AR265" s="65"/>
      <c r="AS265" s="65"/>
      <c r="AT265" s="65"/>
      <c r="AU265" s="257">
        <v>200</v>
      </c>
      <c r="AV265" s="8">
        <v>24</v>
      </c>
      <c r="AW265" s="8">
        <v>19</v>
      </c>
      <c r="AX265" s="8">
        <v>36</v>
      </c>
      <c r="AY265" s="8">
        <v>14</v>
      </c>
      <c r="AZ265" s="6">
        <f t="shared" si="58"/>
        <v>93</v>
      </c>
      <c r="BA265" s="8">
        <v>28</v>
      </c>
      <c r="BB265" s="8">
        <v>16</v>
      </c>
      <c r="BC265" s="8">
        <v>11</v>
      </c>
      <c r="BD265" s="8">
        <v>10</v>
      </c>
      <c r="BE265" s="6">
        <f t="shared" si="56"/>
        <v>65</v>
      </c>
      <c r="BF265" s="8">
        <v>10</v>
      </c>
      <c r="BG265" s="8">
        <v>11</v>
      </c>
      <c r="BH265" s="8"/>
      <c r="BI265" s="8"/>
      <c r="BJ265" s="6">
        <f t="shared" si="59"/>
        <v>21</v>
      </c>
      <c r="BK265" s="6">
        <f t="shared" si="60"/>
        <v>179</v>
      </c>
      <c r="BL265" s="68">
        <f t="shared" si="57"/>
        <v>0.89500000000000002</v>
      </c>
      <c r="BM265" s="517" t="s">
        <v>721</v>
      </c>
      <c r="BN265" s="518"/>
    </row>
    <row r="266" spans="2:68" ht="81.75" customHeight="1" outlineLevel="2" x14ac:dyDescent="0.2">
      <c r="B266" s="48"/>
      <c r="C266" s="381"/>
      <c r="D266" s="381"/>
      <c r="E266" s="381"/>
      <c r="F266" s="151"/>
      <c r="G266" s="16" t="s">
        <v>175</v>
      </c>
      <c r="H266" s="8" t="s">
        <v>25</v>
      </c>
      <c r="I266" s="65">
        <v>1606</v>
      </c>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5"/>
      <c r="AK266" s="65"/>
      <c r="AL266" s="65"/>
      <c r="AM266" s="65"/>
      <c r="AN266" s="65"/>
      <c r="AO266" s="65"/>
      <c r="AP266" s="65"/>
      <c r="AQ266" s="65"/>
      <c r="AR266" s="65"/>
      <c r="AS266" s="65"/>
      <c r="AT266" s="65"/>
      <c r="AU266" s="66">
        <v>1606</v>
      </c>
      <c r="AV266" s="8">
        <v>135</v>
      </c>
      <c r="AW266" s="8">
        <v>134</v>
      </c>
      <c r="AX266" s="8">
        <v>115</v>
      </c>
      <c r="AY266" s="8">
        <v>135</v>
      </c>
      <c r="AZ266" s="6">
        <f t="shared" si="58"/>
        <v>519</v>
      </c>
      <c r="BA266" s="8">
        <v>141</v>
      </c>
      <c r="BB266" s="8">
        <v>145</v>
      </c>
      <c r="BC266" s="8">
        <v>140</v>
      </c>
      <c r="BD266" s="8">
        <v>135</v>
      </c>
      <c r="BE266" s="6">
        <f t="shared" si="56"/>
        <v>561</v>
      </c>
      <c r="BF266" s="8">
        <v>145</v>
      </c>
      <c r="BG266" s="8">
        <v>127</v>
      </c>
      <c r="BH266" s="8"/>
      <c r="BI266" s="8"/>
      <c r="BJ266" s="6">
        <f t="shared" si="59"/>
        <v>272</v>
      </c>
      <c r="BK266" s="97">
        <f>SUM(AZ266+BE266+BJ266)</f>
        <v>1352</v>
      </c>
      <c r="BL266" s="68">
        <f t="shared" si="57"/>
        <v>0.84184308841843092</v>
      </c>
      <c r="BM266" s="517" t="s">
        <v>722</v>
      </c>
      <c r="BN266" s="518"/>
      <c r="BP266" s="223"/>
    </row>
    <row r="267" spans="2:68" ht="136.5" customHeight="1" outlineLevel="1" x14ac:dyDescent="0.2">
      <c r="B267" s="48"/>
      <c r="C267" s="381"/>
      <c r="D267" s="381"/>
      <c r="E267" s="381"/>
      <c r="F267" s="64" t="s">
        <v>301</v>
      </c>
      <c r="G267" s="283"/>
      <c r="H267" s="5" t="s">
        <v>25</v>
      </c>
      <c r="I267" s="10">
        <f>SUM(I268:I269)</f>
        <v>385</v>
      </c>
      <c r="J267" s="10" t="s">
        <v>356</v>
      </c>
      <c r="K267" s="10"/>
      <c r="L267" s="10"/>
      <c r="M267" s="10" t="s">
        <v>435</v>
      </c>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234">
        <v>302</v>
      </c>
      <c r="AV267" s="5">
        <v>29</v>
      </c>
      <c r="AW267" s="5">
        <v>35</v>
      </c>
      <c r="AX267" s="5">
        <v>35</v>
      </c>
      <c r="AY267" s="5">
        <v>33</v>
      </c>
      <c r="AZ267" s="7">
        <f t="shared" si="58"/>
        <v>132</v>
      </c>
      <c r="BA267" s="5">
        <v>32</v>
      </c>
      <c r="BB267" s="5">
        <v>31</v>
      </c>
      <c r="BC267" s="5">
        <v>22</v>
      </c>
      <c r="BD267" s="5">
        <v>21</v>
      </c>
      <c r="BE267" s="7">
        <f t="shared" si="56"/>
        <v>106</v>
      </c>
      <c r="BF267" s="5">
        <v>21</v>
      </c>
      <c r="BG267" s="5">
        <v>18</v>
      </c>
      <c r="BH267" s="5"/>
      <c r="BI267" s="5"/>
      <c r="BJ267" s="7">
        <f t="shared" si="59"/>
        <v>39</v>
      </c>
      <c r="BK267" s="7">
        <f t="shared" si="60"/>
        <v>277</v>
      </c>
      <c r="BL267" s="41">
        <f t="shared" si="57"/>
        <v>0.91721854304635764</v>
      </c>
      <c r="BM267" s="3"/>
      <c r="BN267" s="3"/>
      <c r="BO267" s="61">
        <f>33+32+30+30</f>
        <v>125</v>
      </c>
    </row>
    <row r="268" spans="2:68" ht="139.5" customHeight="1" outlineLevel="2" x14ac:dyDescent="0.2">
      <c r="B268" s="48"/>
      <c r="C268" s="381"/>
      <c r="D268" s="381"/>
      <c r="E268" s="381"/>
      <c r="F268" s="150"/>
      <c r="G268" s="16" t="s">
        <v>302</v>
      </c>
      <c r="H268" s="19" t="s">
        <v>19</v>
      </c>
      <c r="I268" s="65">
        <v>360</v>
      </c>
      <c r="J268" s="10" t="s">
        <v>356</v>
      </c>
      <c r="K268" s="10"/>
      <c r="L268" s="10"/>
      <c r="M268" s="10" t="s">
        <v>437</v>
      </c>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235">
        <v>277</v>
      </c>
      <c r="AV268" s="8">
        <v>28</v>
      </c>
      <c r="AW268" s="8">
        <v>30</v>
      </c>
      <c r="AX268" s="8">
        <v>31</v>
      </c>
      <c r="AY268" s="8">
        <v>32</v>
      </c>
      <c r="AZ268" s="6">
        <f t="shared" si="58"/>
        <v>121</v>
      </c>
      <c r="BA268" s="8">
        <v>30</v>
      </c>
      <c r="BB268" s="8">
        <v>30</v>
      </c>
      <c r="BC268" s="8">
        <v>20</v>
      </c>
      <c r="BD268" s="8">
        <v>20</v>
      </c>
      <c r="BE268" s="6">
        <f t="shared" si="56"/>
        <v>100</v>
      </c>
      <c r="BF268" s="8">
        <v>20</v>
      </c>
      <c r="BG268" s="8">
        <v>13</v>
      </c>
      <c r="BH268" s="8"/>
      <c r="BI268" s="8"/>
      <c r="BJ268" s="6">
        <f t="shared" si="59"/>
        <v>33</v>
      </c>
      <c r="BK268" s="6">
        <f t="shared" si="60"/>
        <v>254</v>
      </c>
      <c r="BL268" s="68">
        <f t="shared" si="57"/>
        <v>0.9169675090252708</v>
      </c>
      <c r="BM268" s="517" t="s">
        <v>723</v>
      </c>
      <c r="BN268" s="519"/>
    </row>
    <row r="269" spans="2:68" ht="84" customHeight="1" outlineLevel="2" x14ac:dyDescent="0.2">
      <c r="B269" s="48"/>
      <c r="C269" s="381"/>
      <c r="D269" s="381"/>
      <c r="E269" s="381"/>
      <c r="F269" s="150"/>
      <c r="G269" s="16" t="s">
        <v>303</v>
      </c>
      <c r="H269" s="19" t="s">
        <v>19</v>
      </c>
      <c r="I269" s="65">
        <v>25</v>
      </c>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c r="AK269" s="65"/>
      <c r="AL269" s="65"/>
      <c r="AM269" s="65"/>
      <c r="AN269" s="65"/>
      <c r="AO269" s="65"/>
      <c r="AP269" s="65"/>
      <c r="AQ269" s="65"/>
      <c r="AR269" s="65"/>
      <c r="AS269" s="65"/>
      <c r="AT269" s="65"/>
      <c r="AU269" s="8">
        <v>25</v>
      </c>
      <c r="AV269" s="8">
        <v>1</v>
      </c>
      <c r="AW269" s="8">
        <v>5</v>
      </c>
      <c r="AX269" s="8">
        <v>4</v>
      </c>
      <c r="AY269" s="8">
        <v>1</v>
      </c>
      <c r="AZ269" s="6">
        <f t="shared" si="58"/>
        <v>11</v>
      </c>
      <c r="BA269" s="8">
        <v>2</v>
      </c>
      <c r="BB269" s="8">
        <v>1</v>
      </c>
      <c r="BC269" s="8">
        <v>2</v>
      </c>
      <c r="BD269" s="111" t="s">
        <v>362</v>
      </c>
      <c r="BE269" s="6">
        <f t="shared" si="56"/>
        <v>6</v>
      </c>
      <c r="BF269" s="8">
        <v>1</v>
      </c>
      <c r="BG269" s="8">
        <v>5</v>
      </c>
      <c r="BH269" s="8"/>
      <c r="BI269" s="8"/>
      <c r="BJ269" s="6">
        <f>SUM(BF269:BI269)</f>
        <v>6</v>
      </c>
      <c r="BK269" s="6">
        <f t="shared" si="60"/>
        <v>23</v>
      </c>
      <c r="BL269" s="68">
        <f t="shared" si="57"/>
        <v>0.92</v>
      </c>
      <c r="BM269" s="517" t="s">
        <v>724</v>
      </c>
      <c r="BN269" s="519"/>
    </row>
    <row r="270" spans="2:68" s="181" customFormat="1" ht="18.75" customHeight="1" x14ac:dyDescent="0.2">
      <c r="B270" s="429" t="s">
        <v>155</v>
      </c>
      <c r="C270" s="430"/>
      <c r="D270" s="430"/>
      <c r="E270" s="430"/>
      <c r="F270" s="430"/>
      <c r="G270" s="430"/>
      <c r="H270" s="430"/>
      <c r="I270" s="430"/>
      <c r="J270" s="430"/>
      <c r="K270" s="430"/>
      <c r="L270" s="430"/>
      <c r="M270" s="430"/>
      <c r="N270" s="430"/>
      <c r="O270" s="430"/>
      <c r="P270" s="430"/>
      <c r="Q270" s="430"/>
      <c r="R270" s="430"/>
      <c r="S270" s="430"/>
      <c r="T270" s="430"/>
      <c r="U270" s="430"/>
      <c r="V270" s="430"/>
      <c r="W270" s="430"/>
      <c r="X270" s="430"/>
      <c r="Y270" s="430"/>
      <c r="Z270" s="430"/>
      <c r="AA270" s="430"/>
      <c r="AB270" s="430"/>
      <c r="AC270" s="430"/>
      <c r="AD270" s="430"/>
      <c r="AE270" s="430"/>
      <c r="AF270" s="430"/>
      <c r="AG270" s="430"/>
      <c r="AH270" s="430"/>
      <c r="AI270" s="430"/>
      <c r="AJ270" s="430"/>
      <c r="AK270" s="430"/>
      <c r="AL270" s="430"/>
      <c r="AM270" s="430"/>
      <c r="AN270" s="430"/>
      <c r="AO270" s="430"/>
      <c r="AP270" s="430"/>
      <c r="AQ270" s="430"/>
      <c r="AR270" s="430"/>
      <c r="AS270" s="430"/>
      <c r="AT270" s="430"/>
      <c r="AU270" s="430"/>
      <c r="AV270" s="430"/>
      <c r="AW270" s="430"/>
      <c r="AX270" s="430"/>
      <c r="AY270" s="430"/>
      <c r="AZ270" s="430"/>
      <c r="BA270" s="430"/>
      <c r="BB270" s="430"/>
      <c r="BC270" s="430"/>
      <c r="BD270" s="430"/>
      <c r="BE270" s="430"/>
      <c r="BF270" s="430"/>
      <c r="BG270" s="430"/>
      <c r="BH270" s="430"/>
      <c r="BI270" s="430"/>
      <c r="BJ270" s="430"/>
      <c r="BK270" s="430"/>
      <c r="BL270" s="430"/>
      <c r="BM270" s="430"/>
      <c r="BN270" s="217"/>
    </row>
    <row r="271" spans="2:68" s="181" customFormat="1" ht="30.75" customHeight="1" x14ac:dyDescent="0.2">
      <c r="B271" s="397" t="s">
        <v>102</v>
      </c>
      <c r="C271" s="397"/>
      <c r="D271" s="397"/>
      <c r="E271" s="397"/>
      <c r="F271" s="437" t="s">
        <v>128</v>
      </c>
      <c r="G271" s="437"/>
      <c r="H271" s="437"/>
      <c r="I271" s="437"/>
      <c r="J271" s="437"/>
      <c r="K271" s="437"/>
      <c r="L271" s="437"/>
      <c r="M271" s="437"/>
      <c r="N271" s="437"/>
      <c r="O271" s="437"/>
      <c r="P271" s="437"/>
      <c r="Q271" s="437"/>
      <c r="R271" s="437"/>
      <c r="S271" s="437"/>
      <c r="T271" s="437"/>
      <c r="U271" s="437"/>
      <c r="V271" s="437"/>
      <c r="W271" s="437"/>
      <c r="X271" s="437"/>
      <c r="Y271" s="437"/>
      <c r="Z271" s="437"/>
      <c r="AA271" s="437"/>
      <c r="AB271" s="437"/>
      <c r="AC271" s="437"/>
      <c r="AD271" s="437"/>
      <c r="AE271" s="437"/>
      <c r="AF271" s="437"/>
      <c r="AG271" s="437"/>
      <c r="AH271" s="437"/>
      <c r="AI271" s="437"/>
      <c r="AJ271" s="437"/>
      <c r="AK271" s="437"/>
      <c r="AL271" s="437"/>
      <c r="AM271" s="437"/>
      <c r="AN271" s="437"/>
      <c r="AO271" s="437"/>
      <c r="AP271" s="437"/>
      <c r="AQ271" s="437"/>
      <c r="AR271" s="437"/>
      <c r="AS271" s="437"/>
      <c r="AT271" s="437"/>
      <c r="AU271" s="437"/>
      <c r="AV271" s="437"/>
      <c r="AW271" s="437"/>
      <c r="AX271" s="437"/>
      <c r="AY271" s="437"/>
      <c r="AZ271" s="437"/>
      <c r="BA271" s="437"/>
      <c r="BB271" s="437"/>
      <c r="BC271" s="437"/>
      <c r="BD271" s="437"/>
      <c r="BE271" s="437"/>
      <c r="BF271" s="437"/>
      <c r="BG271" s="437"/>
      <c r="BH271" s="437"/>
      <c r="BI271" s="437"/>
      <c r="BJ271" s="437"/>
      <c r="BK271" s="437"/>
      <c r="BL271" s="437"/>
      <c r="BM271" s="437"/>
      <c r="BN271" s="437"/>
    </row>
    <row r="272" spans="2:68" s="181" customFormat="1" ht="15" customHeight="1" x14ac:dyDescent="0.2">
      <c r="B272" s="387" t="s">
        <v>103</v>
      </c>
      <c r="C272" s="387"/>
      <c r="D272" s="387"/>
      <c r="E272" s="387"/>
      <c r="F272" s="427" t="s">
        <v>199</v>
      </c>
      <c r="G272" s="427"/>
      <c r="H272" s="427"/>
      <c r="I272" s="427"/>
      <c r="J272" s="427"/>
      <c r="K272" s="427"/>
      <c r="L272" s="427"/>
      <c r="M272" s="427"/>
      <c r="N272" s="427"/>
      <c r="O272" s="427"/>
      <c r="P272" s="427"/>
      <c r="Q272" s="427"/>
      <c r="R272" s="427"/>
      <c r="S272" s="427"/>
      <c r="T272" s="427"/>
      <c r="U272" s="427"/>
      <c r="V272" s="427"/>
      <c r="W272" s="427"/>
      <c r="X272" s="427"/>
      <c r="Y272" s="427"/>
      <c r="Z272" s="427"/>
      <c r="AA272" s="427"/>
      <c r="AB272" s="427"/>
      <c r="AC272" s="427"/>
      <c r="AD272" s="427"/>
      <c r="AE272" s="427"/>
      <c r="AF272" s="427"/>
      <c r="AG272" s="427"/>
      <c r="AH272" s="427"/>
      <c r="AI272" s="427"/>
      <c r="AJ272" s="427"/>
      <c r="AK272" s="427"/>
      <c r="AL272" s="427"/>
      <c r="AM272" s="427"/>
      <c r="AN272" s="427"/>
      <c r="AO272" s="427"/>
      <c r="AP272" s="427"/>
      <c r="AQ272" s="427"/>
      <c r="AR272" s="427"/>
      <c r="AS272" s="427"/>
      <c r="AT272" s="427"/>
      <c r="AU272" s="427"/>
      <c r="AV272" s="427"/>
      <c r="AW272" s="427"/>
      <c r="AX272" s="427"/>
      <c r="AY272" s="427"/>
      <c r="AZ272" s="427"/>
      <c r="BA272" s="427"/>
      <c r="BB272" s="427"/>
      <c r="BC272" s="427"/>
      <c r="BD272" s="427"/>
      <c r="BE272" s="427"/>
      <c r="BF272" s="427"/>
      <c r="BG272" s="427"/>
      <c r="BH272" s="427"/>
      <c r="BI272" s="427"/>
      <c r="BJ272" s="427"/>
      <c r="BK272" s="427"/>
      <c r="BL272" s="427"/>
      <c r="BM272" s="427"/>
      <c r="BN272" s="427"/>
    </row>
    <row r="273" spans="2:67" ht="21" customHeight="1" x14ac:dyDescent="0.2">
      <c r="B273" s="88"/>
      <c r="C273" s="413" t="s">
        <v>235</v>
      </c>
      <c r="D273" s="414"/>
      <c r="E273" s="414"/>
      <c r="F273" s="414"/>
      <c r="G273" s="414"/>
      <c r="H273" s="414"/>
      <c r="I273" s="414"/>
      <c r="J273" s="414"/>
      <c r="K273" s="414"/>
      <c r="L273" s="414"/>
      <c r="M273" s="414"/>
      <c r="N273" s="414"/>
      <c r="O273" s="414"/>
      <c r="P273" s="414"/>
      <c r="Q273" s="414"/>
      <c r="R273" s="414"/>
      <c r="S273" s="414"/>
      <c r="T273" s="414"/>
      <c r="U273" s="414"/>
      <c r="V273" s="414"/>
      <c r="W273" s="414"/>
      <c r="X273" s="414"/>
      <c r="Y273" s="414"/>
      <c r="Z273" s="414"/>
      <c r="AA273" s="414"/>
      <c r="AB273" s="414"/>
      <c r="AC273" s="414"/>
      <c r="AD273" s="414"/>
      <c r="AE273" s="414"/>
      <c r="AF273" s="414"/>
      <c r="AG273" s="414"/>
      <c r="AH273" s="414"/>
      <c r="AI273" s="414"/>
      <c r="AJ273" s="414"/>
      <c r="AK273" s="414"/>
      <c r="AL273" s="414"/>
      <c r="AM273" s="414"/>
      <c r="AN273" s="414"/>
      <c r="AO273" s="414"/>
      <c r="AP273" s="414"/>
      <c r="AQ273" s="414"/>
      <c r="AR273" s="414"/>
      <c r="AS273" s="414"/>
      <c r="AT273" s="414"/>
      <c r="AU273" s="414"/>
      <c r="AV273" s="414"/>
      <c r="AW273" s="414"/>
      <c r="AX273" s="414"/>
      <c r="AY273" s="414"/>
      <c r="AZ273" s="414"/>
      <c r="BA273" s="414"/>
      <c r="BB273" s="414"/>
      <c r="BC273" s="414"/>
      <c r="BD273" s="414"/>
      <c r="BE273" s="414"/>
      <c r="BF273" s="414"/>
      <c r="BG273" s="414"/>
      <c r="BH273" s="414"/>
      <c r="BI273" s="414"/>
      <c r="BJ273" s="414"/>
      <c r="BK273" s="414"/>
      <c r="BL273" s="414"/>
      <c r="BM273" s="414"/>
      <c r="BN273" s="415"/>
    </row>
    <row r="274" spans="2:67" ht="51" customHeight="1" x14ac:dyDescent="0.2">
      <c r="B274" s="184" t="s">
        <v>139</v>
      </c>
      <c r="C274" s="401" t="s">
        <v>94</v>
      </c>
      <c r="D274" s="402"/>
      <c r="E274" s="403"/>
      <c r="F274" s="185" t="s">
        <v>95</v>
      </c>
      <c r="G274" s="186" t="s">
        <v>4</v>
      </c>
      <c r="H274" s="187" t="s">
        <v>3</v>
      </c>
      <c r="I274" s="188" t="s">
        <v>96</v>
      </c>
      <c r="J274" s="207" t="s">
        <v>494</v>
      </c>
      <c r="K274" s="207" t="s">
        <v>495</v>
      </c>
      <c r="L274" s="207" t="s">
        <v>380</v>
      </c>
      <c r="M274" s="208" t="s">
        <v>381</v>
      </c>
      <c r="N274" s="207" t="s">
        <v>517</v>
      </c>
      <c r="O274" s="207" t="s">
        <v>518</v>
      </c>
      <c r="P274" s="207" t="s">
        <v>490</v>
      </c>
      <c r="Q274" s="208" t="s">
        <v>491</v>
      </c>
      <c r="R274" s="208" t="s">
        <v>492</v>
      </c>
      <c r="S274" s="208" t="s">
        <v>493</v>
      </c>
      <c r="T274" s="208" t="s">
        <v>519</v>
      </c>
      <c r="U274" s="208" t="s">
        <v>523</v>
      </c>
      <c r="V274" s="208" t="s">
        <v>525</v>
      </c>
      <c r="W274" s="208" t="s">
        <v>571</v>
      </c>
      <c r="X274" s="208" t="s">
        <v>538</v>
      </c>
      <c r="Y274" s="208" t="s">
        <v>553</v>
      </c>
      <c r="Z274" s="208" t="s">
        <v>554</v>
      </c>
      <c r="AA274" s="307" t="s">
        <v>581</v>
      </c>
      <c r="AB274" s="208" t="s">
        <v>570</v>
      </c>
      <c r="AC274" s="307" t="s">
        <v>564</v>
      </c>
      <c r="AD274" s="307" t="s">
        <v>582</v>
      </c>
      <c r="AE274" s="309" t="s">
        <v>578</v>
      </c>
      <c r="AF274" s="307" t="s">
        <v>635</v>
      </c>
      <c r="AG274" s="307" t="s">
        <v>590</v>
      </c>
      <c r="AH274" s="307" t="s">
        <v>606</v>
      </c>
      <c r="AI274" s="307" t="s">
        <v>636</v>
      </c>
      <c r="AJ274" s="307" t="s">
        <v>623</v>
      </c>
      <c r="AK274" s="307" t="s">
        <v>628</v>
      </c>
      <c r="AL274" s="307" t="s">
        <v>637</v>
      </c>
      <c r="AM274" s="307" t="s">
        <v>641</v>
      </c>
      <c r="AN274" s="307" t="s">
        <v>643</v>
      </c>
      <c r="AO274" s="307" t="s">
        <v>646</v>
      </c>
      <c r="AP274" s="307" t="s">
        <v>650</v>
      </c>
      <c r="AQ274" s="307" t="s">
        <v>689</v>
      </c>
      <c r="AR274" s="307" t="s">
        <v>697</v>
      </c>
      <c r="AS274" s="307" t="s">
        <v>725</v>
      </c>
      <c r="AT274" s="307" t="s">
        <v>729</v>
      </c>
      <c r="AU274" s="188" t="s">
        <v>150</v>
      </c>
      <c r="AV274" s="1" t="s">
        <v>5</v>
      </c>
      <c r="AW274" s="1" t="s">
        <v>6</v>
      </c>
      <c r="AX274" s="1" t="s">
        <v>7</v>
      </c>
      <c r="AY274" s="1" t="s">
        <v>8</v>
      </c>
      <c r="AZ274" s="34" t="s">
        <v>157</v>
      </c>
      <c r="BA274" s="2" t="s">
        <v>9</v>
      </c>
      <c r="BB274" s="2" t="s">
        <v>10</v>
      </c>
      <c r="BC274" s="2" t="s">
        <v>11</v>
      </c>
      <c r="BD274" s="2" t="s">
        <v>12</v>
      </c>
      <c r="BE274" s="34" t="s">
        <v>158</v>
      </c>
      <c r="BF274" s="2" t="s">
        <v>13</v>
      </c>
      <c r="BG274" s="2" t="s">
        <v>14</v>
      </c>
      <c r="BH274" s="2" t="s">
        <v>15</v>
      </c>
      <c r="BI274" s="2" t="s">
        <v>16</v>
      </c>
      <c r="BJ274" s="34" t="s">
        <v>159</v>
      </c>
      <c r="BK274" s="189" t="s">
        <v>97</v>
      </c>
      <c r="BL274" s="189" t="s">
        <v>98</v>
      </c>
      <c r="BM274" s="190" t="s">
        <v>256</v>
      </c>
      <c r="BN274" s="189" t="s">
        <v>99</v>
      </c>
    </row>
    <row r="275" spans="2:67" ht="51.75" customHeight="1" x14ac:dyDescent="0.2">
      <c r="B275" s="30">
        <v>3</v>
      </c>
      <c r="C275" s="470" t="s">
        <v>305</v>
      </c>
      <c r="D275" s="470"/>
      <c r="E275" s="470"/>
      <c r="F275" s="156"/>
      <c r="G275" s="64"/>
      <c r="H275" s="5" t="s">
        <v>19</v>
      </c>
      <c r="I275" s="67">
        <v>474</v>
      </c>
      <c r="J275" s="67"/>
      <c r="K275" s="67"/>
      <c r="L275" s="67"/>
      <c r="M275" s="10" t="s">
        <v>438</v>
      </c>
      <c r="N275" s="10"/>
      <c r="O275" s="10"/>
      <c r="P275" s="10"/>
      <c r="Q275" s="10"/>
      <c r="R275" s="10"/>
      <c r="S275" s="10"/>
      <c r="T275" s="10"/>
      <c r="U275" s="10"/>
      <c r="V275" s="65" t="s">
        <v>535</v>
      </c>
      <c r="W275" s="65"/>
      <c r="X275" s="65"/>
      <c r="Y275" s="65"/>
      <c r="Z275" s="65"/>
      <c r="AA275" s="65"/>
      <c r="AB275" s="65"/>
      <c r="AC275" s="65"/>
      <c r="AD275" s="65"/>
      <c r="AE275" s="65"/>
      <c r="AF275" s="65"/>
      <c r="AG275" s="65"/>
      <c r="AH275" s="65"/>
      <c r="AI275" s="65"/>
      <c r="AJ275" s="65"/>
      <c r="AK275" s="65"/>
      <c r="AL275" s="65"/>
      <c r="AM275" s="65"/>
      <c r="AN275" s="65"/>
      <c r="AO275" s="65"/>
      <c r="AP275" s="65"/>
      <c r="AQ275" s="65"/>
      <c r="AR275" s="65"/>
      <c r="AS275" s="65"/>
      <c r="AT275" s="65"/>
      <c r="AU275" s="256">
        <v>411</v>
      </c>
      <c r="AV275" s="67">
        <v>31</v>
      </c>
      <c r="AW275" s="67">
        <v>34</v>
      </c>
      <c r="AX275" s="67">
        <v>47</v>
      </c>
      <c r="AY275" s="67">
        <v>41</v>
      </c>
      <c r="AZ275" s="10">
        <f>SUM(AV275:AY275)</f>
        <v>153</v>
      </c>
      <c r="BA275" s="67">
        <v>35</v>
      </c>
      <c r="BB275" s="67">
        <v>30</v>
      </c>
      <c r="BC275" s="67">
        <v>32</v>
      </c>
      <c r="BD275" s="67">
        <v>35</v>
      </c>
      <c r="BE275" s="10">
        <f>SUM(BA275+BB275+BC275+BD275)</f>
        <v>132</v>
      </c>
      <c r="BF275" s="7">
        <v>33</v>
      </c>
      <c r="BG275" s="7">
        <v>40</v>
      </c>
      <c r="BH275" s="7"/>
      <c r="BI275" s="7"/>
      <c r="BJ275" s="10">
        <f>SUM(BF275:BI275)</f>
        <v>73</v>
      </c>
      <c r="BK275" s="67">
        <f>SUM(AZ275+BE275+BJ275)</f>
        <v>358</v>
      </c>
      <c r="BL275" s="41">
        <f>SUM(BK275/AU275)</f>
        <v>0.87104622871046233</v>
      </c>
      <c r="BM275" s="3">
        <v>3482260</v>
      </c>
      <c r="BN275" s="258" t="s">
        <v>669</v>
      </c>
      <c r="BO275" s="61">
        <f>129+131+112+95</f>
        <v>467</v>
      </c>
    </row>
    <row r="276" spans="2:67" ht="45" customHeight="1" x14ac:dyDescent="0.2">
      <c r="B276" s="48"/>
      <c r="C276" s="381"/>
      <c r="D276" s="381"/>
      <c r="E276" s="381"/>
      <c r="F276" s="64" t="s">
        <v>176</v>
      </c>
      <c r="G276" s="64"/>
      <c r="H276" s="8" t="s">
        <v>19</v>
      </c>
      <c r="I276" s="67">
        <v>474</v>
      </c>
      <c r="J276" s="67"/>
      <c r="K276" s="67"/>
      <c r="L276" s="67"/>
      <c r="M276" s="10" t="s">
        <v>438</v>
      </c>
      <c r="N276" s="10"/>
      <c r="O276" s="10"/>
      <c r="P276" s="10"/>
      <c r="Q276" s="10"/>
      <c r="R276" s="10"/>
      <c r="S276" s="10"/>
      <c r="T276" s="10"/>
      <c r="U276" s="10"/>
      <c r="V276" s="65" t="s">
        <v>535</v>
      </c>
      <c r="W276" s="65"/>
      <c r="X276" s="65"/>
      <c r="Y276" s="65"/>
      <c r="Z276" s="65"/>
      <c r="AA276" s="65"/>
      <c r="AB276" s="65"/>
      <c r="AC276" s="65"/>
      <c r="AD276" s="65"/>
      <c r="AE276" s="65"/>
      <c r="AF276" s="65"/>
      <c r="AG276" s="65"/>
      <c r="AH276" s="65"/>
      <c r="AI276" s="65"/>
      <c r="AJ276" s="65"/>
      <c r="AK276" s="65"/>
      <c r="AL276" s="65"/>
      <c r="AM276" s="65"/>
      <c r="AN276" s="65"/>
      <c r="AO276" s="65"/>
      <c r="AP276" s="65"/>
      <c r="AQ276" s="65"/>
      <c r="AR276" s="65"/>
      <c r="AS276" s="65"/>
      <c r="AT276" s="65"/>
      <c r="AU276" s="256">
        <v>411</v>
      </c>
      <c r="AV276" s="67">
        <v>31</v>
      </c>
      <c r="AW276" s="67">
        <v>34</v>
      </c>
      <c r="AX276" s="67">
        <v>47</v>
      </c>
      <c r="AY276" s="67">
        <v>41</v>
      </c>
      <c r="AZ276" s="10">
        <f>SUM(AV276:AY276)</f>
        <v>153</v>
      </c>
      <c r="BA276" s="67">
        <v>35</v>
      </c>
      <c r="BB276" s="67">
        <v>30</v>
      </c>
      <c r="BC276" s="67">
        <v>32</v>
      </c>
      <c r="BD276" s="67">
        <v>35</v>
      </c>
      <c r="BE276" s="10">
        <f>SUM(BA276+BB276+BC276+BD276)</f>
        <v>132</v>
      </c>
      <c r="BF276" s="5">
        <v>33</v>
      </c>
      <c r="BG276" s="5">
        <v>40</v>
      </c>
      <c r="BH276" s="5"/>
      <c r="BI276" s="5"/>
      <c r="BJ276" s="7">
        <f>SUM(BF276:BI276)</f>
        <v>73</v>
      </c>
      <c r="BK276" s="67">
        <f>SUM(AZ276+BE276+BJ276)</f>
        <v>358</v>
      </c>
      <c r="BL276" s="41">
        <f>SUM(BK276/AU276)</f>
        <v>0.87104622871046233</v>
      </c>
      <c r="BM276" s="9"/>
      <c r="BN276" s="92"/>
      <c r="BO276" s="61">
        <f>129+131+112+95</f>
        <v>467</v>
      </c>
    </row>
    <row r="277" spans="2:67" ht="84" customHeight="1" outlineLevel="1" x14ac:dyDescent="0.2">
      <c r="B277" s="48"/>
      <c r="C277" s="381"/>
      <c r="D277" s="381"/>
      <c r="E277" s="381"/>
      <c r="F277" s="154"/>
      <c r="G277" s="58" t="s">
        <v>209</v>
      </c>
      <c r="H277" s="8" t="s">
        <v>19</v>
      </c>
      <c r="I277" s="65">
        <v>220</v>
      </c>
      <c r="J277" s="65"/>
      <c r="K277" s="65"/>
      <c r="L277" s="65"/>
      <c r="M277" s="65"/>
      <c r="N277" s="65"/>
      <c r="O277" s="65"/>
      <c r="P277" s="65"/>
      <c r="Q277" s="65"/>
      <c r="R277" s="65"/>
      <c r="S277" s="65"/>
      <c r="T277" s="65"/>
      <c r="U277" s="65"/>
      <c r="V277" s="65" t="s">
        <v>533</v>
      </c>
      <c r="W277" s="65"/>
      <c r="X277" s="65"/>
      <c r="Y277" s="65"/>
      <c r="Z277" s="65"/>
      <c r="AA277" s="65"/>
      <c r="AB277" s="65"/>
      <c r="AC277" s="65"/>
      <c r="AD277" s="65"/>
      <c r="AE277" s="65"/>
      <c r="AF277" s="65"/>
      <c r="AG277" s="65"/>
      <c r="AH277" s="65"/>
      <c r="AI277" s="65"/>
      <c r="AJ277" s="65"/>
      <c r="AK277" s="65"/>
      <c r="AL277" s="65"/>
      <c r="AM277" s="65"/>
      <c r="AN277" s="65"/>
      <c r="AO277" s="65"/>
      <c r="AP277" s="65"/>
      <c r="AQ277" s="65"/>
      <c r="AR277" s="65"/>
      <c r="AS277" s="65"/>
      <c r="AT277" s="65"/>
      <c r="AU277" s="254">
        <v>186</v>
      </c>
      <c r="AV277" s="6">
        <v>13</v>
      </c>
      <c r="AW277" s="6">
        <v>14</v>
      </c>
      <c r="AX277" s="6">
        <v>25</v>
      </c>
      <c r="AY277" s="6">
        <v>20</v>
      </c>
      <c r="AZ277" s="6">
        <f>SUM(AV277:AY277)</f>
        <v>72</v>
      </c>
      <c r="BA277" s="8">
        <v>17</v>
      </c>
      <c r="BB277" s="8">
        <v>10</v>
      </c>
      <c r="BC277" s="8">
        <v>16</v>
      </c>
      <c r="BD277" s="8">
        <v>14</v>
      </c>
      <c r="BE277" s="6">
        <f>SUM(BA277+BB277+BC277+BD277)</f>
        <v>57</v>
      </c>
      <c r="BF277" s="8">
        <v>18</v>
      </c>
      <c r="BG277" s="8">
        <v>20</v>
      </c>
      <c r="BH277" s="8"/>
      <c r="BI277" s="8"/>
      <c r="BJ277" s="6">
        <f>SUM(BF277:BI277)</f>
        <v>38</v>
      </c>
      <c r="BK277" s="6">
        <f>SUM(AZ277+BE277+BJ277)</f>
        <v>167</v>
      </c>
      <c r="BL277" s="68">
        <f>SUM(BK277/AU277)</f>
        <v>0.89784946236559138</v>
      </c>
      <c r="BM277" s="17"/>
      <c r="BN277" s="17"/>
    </row>
    <row r="278" spans="2:67" ht="64.5" customHeight="1" outlineLevel="1" x14ac:dyDescent="0.2">
      <c r="B278" s="335"/>
      <c r="C278" s="399"/>
      <c r="D278" s="399"/>
      <c r="E278" s="399"/>
      <c r="F278" s="242"/>
      <c r="G278" s="336" t="s">
        <v>200</v>
      </c>
      <c r="H278" s="23" t="s">
        <v>19</v>
      </c>
      <c r="I278" s="337">
        <v>87</v>
      </c>
      <c r="J278" s="337"/>
      <c r="K278" s="337"/>
      <c r="L278" s="337"/>
      <c r="M278" s="337"/>
      <c r="N278" s="337"/>
      <c r="O278" s="337"/>
      <c r="P278" s="337"/>
      <c r="Q278" s="337"/>
      <c r="R278" s="337"/>
      <c r="S278" s="337"/>
      <c r="T278" s="337"/>
      <c r="U278" s="337"/>
      <c r="V278" s="337" t="s">
        <v>438</v>
      </c>
      <c r="W278" s="337"/>
      <c r="X278" s="337"/>
      <c r="Y278" s="337"/>
      <c r="Z278" s="337"/>
      <c r="AA278" s="337"/>
      <c r="AB278" s="337"/>
      <c r="AC278" s="337"/>
      <c r="AD278" s="337"/>
      <c r="AE278" s="337"/>
      <c r="AF278" s="337"/>
      <c r="AG278" s="337"/>
      <c r="AH278" s="337"/>
      <c r="AI278" s="337"/>
      <c r="AJ278" s="337"/>
      <c r="AK278" s="337"/>
      <c r="AL278" s="337"/>
      <c r="AM278" s="337"/>
      <c r="AN278" s="337"/>
      <c r="AO278" s="337"/>
      <c r="AP278" s="337"/>
      <c r="AQ278" s="337"/>
      <c r="AR278" s="337"/>
      <c r="AS278" s="337"/>
      <c r="AT278" s="337"/>
      <c r="AU278" s="338">
        <v>80</v>
      </c>
      <c r="AV278" s="339">
        <v>5</v>
      </c>
      <c r="AW278" s="339">
        <v>6</v>
      </c>
      <c r="AX278" s="339">
        <v>7</v>
      </c>
      <c r="AY278" s="339">
        <v>7</v>
      </c>
      <c r="AZ278" s="339">
        <f>SUM(AV278:AY278)</f>
        <v>25</v>
      </c>
      <c r="BA278" s="23">
        <v>6</v>
      </c>
      <c r="BB278" s="23">
        <v>8</v>
      </c>
      <c r="BC278" s="23">
        <v>6</v>
      </c>
      <c r="BD278" s="23">
        <v>8</v>
      </c>
      <c r="BE278" s="339">
        <f>SUM(BA278+BB278+BC278+BD278)</f>
        <v>28</v>
      </c>
      <c r="BF278" s="23">
        <v>6</v>
      </c>
      <c r="BG278" s="23">
        <v>9</v>
      </c>
      <c r="BH278" s="23"/>
      <c r="BI278" s="23"/>
      <c r="BJ278" s="339">
        <f>SUM(BF278:BI278)</f>
        <v>15</v>
      </c>
      <c r="BK278" s="339">
        <f>SUM(AZ278+BE278+BJ278)</f>
        <v>68</v>
      </c>
      <c r="BL278" s="340">
        <f>SUM(BK278/AU278)</f>
        <v>0.85</v>
      </c>
      <c r="BM278" s="23"/>
      <c r="BN278" s="23"/>
    </row>
    <row r="279" spans="2:67" s="48" customFormat="1" ht="141" customHeight="1" outlineLevel="1" x14ac:dyDescent="0.2">
      <c r="C279" s="381"/>
      <c r="D279" s="381"/>
      <c r="E279" s="381"/>
      <c r="F279" s="323"/>
      <c r="G279" s="58" t="s">
        <v>201</v>
      </c>
      <c r="H279" s="8" t="s">
        <v>19</v>
      </c>
      <c r="I279" s="65">
        <v>167</v>
      </c>
      <c r="J279" s="65"/>
      <c r="K279" s="65"/>
      <c r="L279" s="65"/>
      <c r="M279" s="10" t="s">
        <v>438</v>
      </c>
      <c r="N279" s="10"/>
      <c r="O279" s="10"/>
      <c r="P279" s="10"/>
      <c r="Q279" s="10"/>
      <c r="R279" s="10"/>
      <c r="S279" s="10"/>
      <c r="T279" s="10"/>
      <c r="U279" s="10"/>
      <c r="V279" s="65" t="s">
        <v>534</v>
      </c>
      <c r="W279" s="65"/>
      <c r="X279" s="65"/>
      <c r="Y279" s="65"/>
      <c r="Z279" s="65"/>
      <c r="AA279" s="65"/>
      <c r="AB279" s="65"/>
      <c r="AC279" s="65"/>
      <c r="AD279" s="65"/>
      <c r="AE279" s="65"/>
      <c r="AF279" s="65"/>
      <c r="AG279" s="65"/>
      <c r="AH279" s="65"/>
      <c r="AI279" s="65"/>
      <c r="AJ279" s="65"/>
      <c r="AK279" s="65"/>
      <c r="AL279" s="65"/>
      <c r="AM279" s="65"/>
      <c r="AN279" s="65"/>
      <c r="AO279" s="65"/>
      <c r="AP279" s="65"/>
      <c r="AQ279" s="65"/>
      <c r="AR279" s="65"/>
      <c r="AS279" s="65"/>
      <c r="AT279" s="65"/>
      <c r="AU279" s="254">
        <v>145</v>
      </c>
      <c r="AV279" s="6">
        <v>13</v>
      </c>
      <c r="AW279" s="6">
        <v>14</v>
      </c>
      <c r="AX279" s="6">
        <v>15</v>
      </c>
      <c r="AY279" s="6">
        <v>14</v>
      </c>
      <c r="AZ279" s="6">
        <f>SUM(AV279:AY279)</f>
        <v>56</v>
      </c>
      <c r="BA279" s="8">
        <v>12</v>
      </c>
      <c r="BB279" s="8">
        <v>12</v>
      </c>
      <c r="BC279" s="8">
        <v>10</v>
      </c>
      <c r="BD279" s="8">
        <v>13</v>
      </c>
      <c r="BE279" s="6">
        <f>SUM(BA279+BB279+BC279+BD279)</f>
        <v>47</v>
      </c>
      <c r="BF279" s="8">
        <v>9</v>
      </c>
      <c r="BG279" s="8">
        <v>11</v>
      </c>
      <c r="BH279" s="66"/>
      <c r="BI279" s="8"/>
      <c r="BJ279" s="6">
        <f>SUM(BF279:BI279)</f>
        <v>20</v>
      </c>
      <c r="BK279" s="6">
        <f>SUM(AZ279+BE279+BJ279)</f>
        <v>123</v>
      </c>
      <c r="BL279" s="68">
        <f>SUM(BK279/AU279)</f>
        <v>0.84827586206896555</v>
      </c>
      <c r="BM279" s="17"/>
      <c r="BN279" s="17"/>
    </row>
    <row r="280" spans="2:67" ht="21" customHeight="1" x14ac:dyDescent="0.2">
      <c r="B280" s="459" t="s">
        <v>75</v>
      </c>
      <c r="C280" s="459"/>
      <c r="D280" s="459"/>
      <c r="E280" s="459"/>
      <c r="F280" s="459"/>
      <c r="G280" s="459"/>
      <c r="H280" s="459"/>
      <c r="I280" s="459"/>
      <c r="J280" s="459"/>
      <c r="K280" s="459"/>
      <c r="L280" s="459"/>
      <c r="M280" s="459"/>
      <c r="N280" s="459"/>
      <c r="O280" s="459"/>
      <c r="P280" s="459"/>
      <c r="Q280" s="459"/>
      <c r="R280" s="459"/>
      <c r="S280" s="459"/>
      <c r="T280" s="459"/>
      <c r="U280" s="459"/>
      <c r="V280" s="459"/>
      <c r="W280" s="459"/>
      <c r="X280" s="459"/>
      <c r="Y280" s="459"/>
      <c r="Z280" s="459"/>
      <c r="AA280" s="459"/>
      <c r="AB280" s="459"/>
      <c r="AC280" s="459"/>
      <c r="AD280" s="459"/>
      <c r="AE280" s="459"/>
      <c r="AF280" s="459"/>
      <c r="AG280" s="459"/>
      <c r="AH280" s="459"/>
      <c r="AI280" s="459"/>
      <c r="AJ280" s="459"/>
      <c r="AK280" s="459"/>
      <c r="AL280" s="459"/>
      <c r="AM280" s="459"/>
      <c r="AN280" s="459"/>
      <c r="AO280" s="459"/>
      <c r="AP280" s="459"/>
      <c r="AQ280" s="459"/>
      <c r="AR280" s="459"/>
      <c r="AS280" s="459"/>
      <c r="AT280" s="459"/>
      <c r="AU280" s="459"/>
      <c r="AV280" s="459"/>
      <c r="AW280" s="459"/>
      <c r="AX280" s="459"/>
      <c r="AY280" s="459"/>
      <c r="AZ280" s="459"/>
      <c r="BA280" s="459"/>
      <c r="BB280" s="459"/>
      <c r="BC280" s="459"/>
      <c r="BD280" s="459"/>
      <c r="BE280" s="459"/>
      <c r="BF280" s="459"/>
      <c r="BG280" s="459"/>
      <c r="BH280" s="459"/>
      <c r="BI280" s="459"/>
      <c r="BJ280" s="459"/>
      <c r="BK280" s="459"/>
      <c r="BL280" s="459"/>
      <c r="BM280" s="459"/>
      <c r="BN280" s="459"/>
    </row>
    <row r="281" spans="2:67" s="181" customFormat="1" ht="19.5" customHeight="1" x14ac:dyDescent="0.2">
      <c r="B281" s="419" t="s">
        <v>100</v>
      </c>
      <c r="C281" s="419"/>
      <c r="D281" s="419"/>
      <c r="E281" s="419"/>
      <c r="F281" s="398" t="s">
        <v>130</v>
      </c>
      <c r="G281" s="398"/>
      <c r="H281" s="398"/>
      <c r="I281" s="398"/>
      <c r="J281" s="398"/>
      <c r="K281" s="398"/>
      <c r="L281" s="398"/>
      <c r="M281" s="398"/>
      <c r="N281" s="398"/>
      <c r="O281" s="398"/>
      <c r="P281" s="398"/>
      <c r="Q281" s="398"/>
      <c r="R281" s="398"/>
      <c r="S281" s="398"/>
      <c r="T281" s="398"/>
      <c r="U281" s="398"/>
      <c r="V281" s="398"/>
      <c r="W281" s="398"/>
      <c r="X281" s="398"/>
      <c r="Y281" s="398"/>
      <c r="Z281" s="398"/>
      <c r="AA281" s="398"/>
      <c r="AB281" s="398"/>
      <c r="AC281" s="398"/>
      <c r="AD281" s="398"/>
      <c r="AE281" s="398"/>
      <c r="AF281" s="398"/>
      <c r="AG281" s="398"/>
      <c r="AH281" s="398"/>
      <c r="AI281" s="398"/>
      <c r="AJ281" s="398"/>
      <c r="AK281" s="398"/>
      <c r="AL281" s="398"/>
      <c r="AM281" s="398"/>
      <c r="AN281" s="398"/>
      <c r="AO281" s="398"/>
      <c r="AP281" s="398"/>
      <c r="AQ281" s="398"/>
      <c r="AR281" s="398"/>
      <c r="AS281" s="398"/>
      <c r="AT281" s="398"/>
      <c r="AU281" s="398"/>
      <c r="AV281" s="398"/>
      <c r="AW281" s="398"/>
      <c r="AX281" s="398"/>
      <c r="AY281" s="398"/>
      <c r="AZ281" s="398"/>
      <c r="BA281" s="398"/>
      <c r="BB281" s="398"/>
      <c r="BC281" s="398"/>
      <c r="BD281" s="398"/>
      <c r="BE281" s="398"/>
      <c r="BF281" s="398"/>
      <c r="BG281" s="398"/>
      <c r="BH281" s="398"/>
      <c r="BI281" s="398"/>
      <c r="BJ281" s="398"/>
      <c r="BK281" s="398"/>
      <c r="BL281" s="398"/>
      <c r="BM281" s="398"/>
      <c r="BN281" s="398"/>
    </row>
    <row r="282" spans="2:67" s="181" customFormat="1" ht="52.5" customHeight="1" x14ac:dyDescent="0.2">
      <c r="B282" s="426" t="s">
        <v>129</v>
      </c>
      <c r="C282" s="426"/>
      <c r="D282" s="426"/>
      <c r="E282" s="426"/>
      <c r="F282" s="388" t="s">
        <v>338</v>
      </c>
      <c r="G282" s="388"/>
      <c r="H282" s="388"/>
      <c r="I282" s="388"/>
      <c r="J282" s="388"/>
      <c r="K282" s="388"/>
      <c r="L282" s="388"/>
      <c r="M282" s="388"/>
      <c r="N282" s="388"/>
      <c r="O282" s="388"/>
      <c r="P282" s="388"/>
      <c r="Q282" s="388"/>
      <c r="R282" s="388"/>
      <c r="S282" s="388"/>
      <c r="T282" s="388"/>
      <c r="U282" s="388"/>
      <c r="V282" s="388"/>
      <c r="W282" s="388"/>
      <c r="X282" s="388"/>
      <c r="Y282" s="388"/>
      <c r="Z282" s="388"/>
      <c r="AA282" s="388"/>
      <c r="AB282" s="388"/>
      <c r="AC282" s="388"/>
      <c r="AD282" s="388"/>
      <c r="AE282" s="388"/>
      <c r="AF282" s="388"/>
      <c r="AG282" s="388"/>
      <c r="AH282" s="388"/>
      <c r="AI282" s="388"/>
      <c r="AJ282" s="388"/>
      <c r="AK282" s="388"/>
      <c r="AL282" s="388"/>
      <c r="AM282" s="388"/>
      <c r="AN282" s="388"/>
      <c r="AO282" s="388"/>
      <c r="AP282" s="388"/>
      <c r="AQ282" s="388"/>
      <c r="AR282" s="388"/>
      <c r="AS282" s="388"/>
      <c r="AT282" s="388"/>
      <c r="AU282" s="388"/>
      <c r="AV282" s="388"/>
      <c r="AW282" s="388"/>
      <c r="AX282" s="388"/>
      <c r="AY282" s="388"/>
      <c r="AZ282" s="388"/>
      <c r="BA282" s="388"/>
      <c r="BB282" s="388"/>
      <c r="BC282" s="388"/>
      <c r="BD282" s="388"/>
      <c r="BE282" s="388"/>
      <c r="BF282" s="388"/>
      <c r="BG282" s="388"/>
      <c r="BH282" s="388"/>
      <c r="BI282" s="388"/>
      <c r="BJ282" s="388"/>
      <c r="BK282" s="388"/>
      <c r="BL282" s="388"/>
      <c r="BM282" s="388"/>
      <c r="BN282" s="388"/>
    </row>
    <row r="283" spans="2:67" s="181" customFormat="1" ht="54" customHeight="1" x14ac:dyDescent="0.2">
      <c r="B283" s="389" t="s">
        <v>337</v>
      </c>
      <c r="C283" s="390"/>
      <c r="D283" s="390"/>
      <c r="E283" s="391"/>
      <c r="F283" s="423" t="s">
        <v>339</v>
      </c>
      <c r="G283" s="424"/>
      <c r="H283" s="424"/>
      <c r="I283" s="424"/>
      <c r="J283" s="424"/>
      <c r="K283" s="424"/>
      <c r="L283" s="424"/>
      <c r="M283" s="424"/>
      <c r="N283" s="424"/>
      <c r="O283" s="424"/>
      <c r="P283" s="424"/>
      <c r="Q283" s="424"/>
      <c r="R283" s="424"/>
      <c r="S283" s="424"/>
      <c r="T283" s="424"/>
      <c r="U283" s="424"/>
      <c r="V283" s="424"/>
      <c r="W283" s="424"/>
      <c r="X283" s="424"/>
      <c r="Y283" s="424"/>
      <c r="Z283" s="424"/>
      <c r="AA283" s="424"/>
      <c r="AB283" s="424"/>
      <c r="AC283" s="424"/>
      <c r="AD283" s="424"/>
      <c r="AE283" s="424"/>
      <c r="AF283" s="424"/>
      <c r="AG283" s="424"/>
      <c r="AH283" s="424"/>
      <c r="AI283" s="424"/>
      <c r="AJ283" s="424"/>
      <c r="AK283" s="424"/>
      <c r="AL283" s="424"/>
      <c r="AM283" s="424"/>
      <c r="AN283" s="424"/>
      <c r="AO283" s="424"/>
      <c r="AP283" s="424"/>
      <c r="AQ283" s="424"/>
      <c r="AR283" s="424"/>
      <c r="AS283" s="424"/>
      <c r="AT283" s="424"/>
      <c r="AU283" s="424"/>
      <c r="AV283" s="424"/>
      <c r="AW283" s="424"/>
      <c r="AX283" s="424"/>
      <c r="AY283" s="424"/>
      <c r="AZ283" s="424"/>
      <c r="BA283" s="424"/>
      <c r="BB283" s="424"/>
      <c r="BC283" s="424"/>
      <c r="BD283" s="424"/>
      <c r="BE283" s="424"/>
      <c r="BF283" s="424"/>
      <c r="BG283" s="424"/>
      <c r="BH283" s="424"/>
      <c r="BI283" s="424"/>
      <c r="BJ283" s="424"/>
      <c r="BK283" s="424"/>
      <c r="BL283" s="424"/>
      <c r="BM283" s="424"/>
      <c r="BN283" s="425"/>
    </row>
    <row r="284" spans="2:67" s="181" customFormat="1" ht="33.75" customHeight="1" x14ac:dyDescent="0.2">
      <c r="B284" s="419" t="s">
        <v>90</v>
      </c>
      <c r="C284" s="419"/>
      <c r="D284" s="419"/>
      <c r="E284" s="419"/>
      <c r="F284" s="597" t="s">
        <v>340</v>
      </c>
      <c r="G284" s="597"/>
      <c r="H284" s="597"/>
      <c r="I284" s="597"/>
      <c r="J284" s="597"/>
      <c r="K284" s="597"/>
      <c r="L284" s="597"/>
      <c r="M284" s="597"/>
      <c r="N284" s="597"/>
      <c r="O284" s="597"/>
      <c r="P284" s="597"/>
      <c r="Q284" s="597"/>
      <c r="R284" s="597"/>
      <c r="S284" s="597"/>
      <c r="T284" s="597"/>
      <c r="U284" s="597"/>
      <c r="V284" s="597"/>
      <c r="W284" s="597"/>
      <c r="X284" s="597"/>
      <c r="Y284" s="597"/>
      <c r="Z284" s="597"/>
      <c r="AA284" s="597"/>
      <c r="AB284" s="597"/>
      <c r="AC284" s="597"/>
      <c r="AD284" s="597"/>
      <c r="AE284" s="597"/>
      <c r="AF284" s="597"/>
      <c r="AG284" s="597"/>
      <c r="AH284" s="597"/>
      <c r="AI284" s="597"/>
      <c r="AJ284" s="597"/>
      <c r="AK284" s="597"/>
      <c r="AL284" s="597"/>
      <c r="AM284" s="597"/>
      <c r="AN284" s="597"/>
      <c r="AO284" s="597"/>
      <c r="AP284" s="597"/>
      <c r="AQ284" s="597"/>
      <c r="AR284" s="597"/>
      <c r="AS284" s="597"/>
      <c r="AT284" s="597"/>
      <c r="AU284" s="597"/>
      <c r="AV284" s="597"/>
      <c r="AW284" s="597"/>
      <c r="AX284" s="597"/>
      <c r="AY284" s="597"/>
      <c r="AZ284" s="597"/>
      <c r="BA284" s="597"/>
      <c r="BB284" s="597"/>
      <c r="BC284" s="597"/>
      <c r="BD284" s="597"/>
      <c r="BE284" s="597"/>
      <c r="BF284" s="597"/>
      <c r="BG284" s="597"/>
      <c r="BH284" s="597"/>
      <c r="BI284" s="597"/>
      <c r="BJ284" s="597"/>
      <c r="BK284" s="597"/>
      <c r="BL284" s="597"/>
      <c r="BM284" s="597"/>
      <c r="BN284" s="597"/>
    </row>
    <row r="285" spans="2:67" s="181" customFormat="1" ht="20.25" customHeight="1" x14ac:dyDescent="0.2">
      <c r="B285" s="420" t="s">
        <v>145</v>
      </c>
      <c r="C285" s="421"/>
      <c r="D285" s="421"/>
      <c r="E285" s="422"/>
      <c r="F285" s="416" t="s">
        <v>225</v>
      </c>
      <c r="G285" s="417"/>
      <c r="H285" s="417"/>
      <c r="I285" s="417"/>
      <c r="J285" s="417"/>
      <c r="K285" s="417"/>
      <c r="L285" s="417"/>
      <c r="M285" s="417"/>
      <c r="N285" s="417"/>
      <c r="O285" s="417"/>
      <c r="P285" s="417"/>
      <c r="Q285" s="417"/>
      <c r="R285" s="417"/>
      <c r="S285" s="417"/>
      <c r="T285" s="417"/>
      <c r="U285" s="417"/>
      <c r="V285" s="417"/>
      <c r="W285" s="417"/>
      <c r="X285" s="417"/>
      <c r="Y285" s="417"/>
      <c r="Z285" s="417"/>
      <c r="AA285" s="417"/>
      <c r="AB285" s="417"/>
      <c r="AC285" s="417"/>
      <c r="AD285" s="417"/>
      <c r="AE285" s="417"/>
      <c r="AF285" s="417"/>
      <c r="AG285" s="417"/>
      <c r="AH285" s="417"/>
      <c r="AI285" s="417"/>
      <c r="AJ285" s="417"/>
      <c r="AK285" s="417"/>
      <c r="AL285" s="417"/>
      <c r="AM285" s="417"/>
      <c r="AN285" s="417"/>
      <c r="AO285" s="417"/>
      <c r="AP285" s="417"/>
      <c r="AQ285" s="417"/>
      <c r="AR285" s="417"/>
      <c r="AS285" s="417"/>
      <c r="AT285" s="417"/>
      <c r="AU285" s="417"/>
      <c r="AV285" s="417"/>
      <c r="AW285" s="417"/>
      <c r="AX285" s="417"/>
      <c r="AY285" s="417"/>
      <c r="AZ285" s="417"/>
      <c r="BA285" s="417"/>
      <c r="BB285" s="417"/>
      <c r="BC285" s="417"/>
      <c r="BD285" s="417"/>
      <c r="BE285" s="417"/>
      <c r="BF285" s="417"/>
      <c r="BG285" s="417"/>
      <c r="BH285" s="417"/>
      <c r="BI285" s="417"/>
      <c r="BJ285" s="417"/>
      <c r="BK285" s="417"/>
      <c r="BL285" s="417"/>
      <c r="BM285" s="417"/>
      <c r="BN285" s="418"/>
    </row>
    <row r="286" spans="2:67" s="181" customFormat="1" ht="21" customHeight="1" x14ac:dyDescent="0.2">
      <c r="B286" s="429" t="s">
        <v>131</v>
      </c>
      <c r="C286" s="430"/>
      <c r="D286" s="430"/>
      <c r="E286" s="430"/>
      <c r="F286" s="430"/>
      <c r="G286" s="430"/>
      <c r="H286" s="430"/>
      <c r="I286" s="430"/>
      <c r="J286" s="430"/>
      <c r="K286" s="430"/>
      <c r="L286" s="430"/>
      <c r="M286" s="430"/>
      <c r="N286" s="430"/>
      <c r="O286" s="430"/>
      <c r="P286" s="430"/>
      <c r="Q286" s="430"/>
      <c r="R286" s="430"/>
      <c r="S286" s="430"/>
      <c r="T286" s="430"/>
      <c r="U286" s="430"/>
      <c r="V286" s="430"/>
      <c r="W286" s="430"/>
      <c r="X286" s="430"/>
      <c r="Y286" s="430"/>
      <c r="Z286" s="430"/>
      <c r="AA286" s="430"/>
      <c r="AB286" s="430"/>
      <c r="AC286" s="430"/>
      <c r="AD286" s="430"/>
      <c r="AE286" s="430"/>
      <c r="AF286" s="430"/>
      <c r="AG286" s="430"/>
      <c r="AH286" s="430"/>
      <c r="AI286" s="430"/>
      <c r="AJ286" s="430"/>
      <c r="AK286" s="430"/>
      <c r="AL286" s="430"/>
      <c r="AM286" s="430"/>
      <c r="AN286" s="430"/>
      <c r="AO286" s="430"/>
      <c r="AP286" s="430"/>
      <c r="AQ286" s="430"/>
      <c r="AR286" s="430"/>
      <c r="AS286" s="430"/>
      <c r="AT286" s="430"/>
      <c r="AU286" s="430"/>
      <c r="AV286" s="430"/>
      <c r="AW286" s="430"/>
      <c r="AX286" s="430"/>
      <c r="AY286" s="430"/>
      <c r="AZ286" s="430"/>
      <c r="BA286" s="430"/>
      <c r="BB286" s="430"/>
      <c r="BC286" s="430"/>
      <c r="BD286" s="430"/>
      <c r="BE286" s="430"/>
      <c r="BF286" s="430"/>
      <c r="BG286" s="430"/>
      <c r="BH286" s="430"/>
      <c r="BI286" s="430"/>
      <c r="BJ286" s="430"/>
      <c r="BK286" s="430"/>
      <c r="BL286" s="430"/>
      <c r="BM286" s="430"/>
      <c r="BN286" s="217"/>
    </row>
    <row r="287" spans="2:67" s="181" customFormat="1" ht="30" customHeight="1" x14ac:dyDescent="0.2">
      <c r="B287" s="397" t="s">
        <v>102</v>
      </c>
      <c r="C287" s="397"/>
      <c r="D287" s="397"/>
      <c r="E287" s="397"/>
      <c r="F287" s="404" t="s">
        <v>132</v>
      </c>
      <c r="G287" s="405"/>
      <c r="H287" s="405"/>
      <c r="I287" s="405"/>
      <c r="J287" s="405"/>
      <c r="K287" s="405"/>
      <c r="L287" s="405"/>
      <c r="M287" s="405"/>
      <c r="N287" s="405"/>
      <c r="O287" s="405"/>
      <c r="P287" s="405"/>
      <c r="Q287" s="405"/>
      <c r="R287" s="405"/>
      <c r="S287" s="405"/>
      <c r="T287" s="405"/>
      <c r="U287" s="405"/>
      <c r="V287" s="405"/>
      <c r="W287" s="405"/>
      <c r="X287" s="405"/>
      <c r="Y287" s="405"/>
      <c r="Z287" s="405"/>
      <c r="AA287" s="405"/>
      <c r="AB287" s="405"/>
      <c r="AC287" s="405"/>
      <c r="AD287" s="405"/>
      <c r="AE287" s="405"/>
      <c r="AF287" s="405"/>
      <c r="AG287" s="405"/>
      <c r="AH287" s="405"/>
      <c r="AI287" s="405"/>
      <c r="AJ287" s="405"/>
      <c r="AK287" s="405"/>
      <c r="AL287" s="405"/>
      <c r="AM287" s="405"/>
      <c r="AN287" s="405"/>
      <c r="AO287" s="405"/>
      <c r="AP287" s="405"/>
      <c r="AQ287" s="405"/>
      <c r="AR287" s="405"/>
      <c r="AS287" s="405"/>
      <c r="AT287" s="405"/>
      <c r="AU287" s="405"/>
      <c r="AV287" s="405"/>
      <c r="AW287" s="405"/>
      <c r="AX287" s="405"/>
      <c r="AY287" s="405"/>
      <c r="AZ287" s="405"/>
      <c r="BA287" s="405"/>
      <c r="BB287" s="405"/>
      <c r="BC287" s="405"/>
      <c r="BD287" s="405"/>
      <c r="BE287" s="405"/>
      <c r="BF287" s="405"/>
      <c r="BG287" s="405"/>
      <c r="BH287" s="405"/>
      <c r="BI287" s="405"/>
      <c r="BJ287" s="405"/>
      <c r="BK287" s="405"/>
      <c r="BL287" s="405"/>
      <c r="BM287" s="405"/>
      <c r="BN287" s="406"/>
    </row>
    <row r="288" spans="2:67" s="181" customFormat="1" ht="18" customHeight="1" x14ac:dyDescent="0.2">
      <c r="B288" s="397" t="s">
        <v>103</v>
      </c>
      <c r="C288" s="397"/>
      <c r="D288" s="397"/>
      <c r="E288" s="397"/>
      <c r="F288" s="520" t="s">
        <v>202</v>
      </c>
      <c r="G288" s="530"/>
      <c r="H288" s="530"/>
      <c r="I288" s="530"/>
      <c r="J288" s="530"/>
      <c r="K288" s="530"/>
      <c r="L288" s="530"/>
      <c r="M288" s="530"/>
      <c r="N288" s="530"/>
      <c r="O288" s="530"/>
      <c r="P288" s="530"/>
      <c r="Q288" s="530"/>
      <c r="R288" s="530"/>
      <c r="S288" s="530"/>
      <c r="T288" s="530"/>
      <c r="U288" s="530"/>
      <c r="V288" s="530"/>
      <c r="W288" s="530"/>
      <c r="X288" s="530"/>
      <c r="Y288" s="530"/>
      <c r="Z288" s="530"/>
      <c r="AA288" s="530"/>
      <c r="AB288" s="530"/>
      <c r="AC288" s="530"/>
      <c r="AD288" s="530"/>
      <c r="AE288" s="530"/>
      <c r="AF288" s="530"/>
      <c r="AG288" s="530"/>
      <c r="AH288" s="530"/>
      <c r="AI288" s="530"/>
      <c r="AJ288" s="530"/>
      <c r="AK288" s="530"/>
      <c r="AL288" s="530"/>
      <c r="AM288" s="530"/>
      <c r="AN288" s="530"/>
      <c r="AO288" s="530"/>
      <c r="AP288" s="530"/>
      <c r="AQ288" s="530"/>
      <c r="AR288" s="530"/>
      <c r="AS288" s="530"/>
      <c r="AT288" s="530"/>
      <c r="AU288" s="530"/>
      <c r="AV288" s="530"/>
      <c r="AW288" s="530"/>
      <c r="AX288" s="530"/>
      <c r="AY288" s="530"/>
      <c r="AZ288" s="530"/>
      <c r="BA288" s="530"/>
      <c r="BB288" s="530"/>
      <c r="BC288" s="530"/>
      <c r="BD288" s="530"/>
      <c r="BE288" s="530"/>
      <c r="BF288" s="530"/>
      <c r="BG288" s="530"/>
      <c r="BH288" s="530"/>
      <c r="BI288" s="530"/>
      <c r="BJ288" s="530"/>
      <c r="BK288" s="530"/>
      <c r="BL288" s="530"/>
      <c r="BM288" s="530"/>
      <c r="BN288" s="521"/>
    </row>
    <row r="289" spans="2:69" ht="21" customHeight="1" x14ac:dyDescent="0.2">
      <c r="B289" s="88"/>
      <c r="C289" s="413" t="s">
        <v>235</v>
      </c>
      <c r="D289" s="414"/>
      <c r="E289" s="414"/>
      <c r="F289" s="414"/>
      <c r="G289" s="414"/>
      <c r="H289" s="414"/>
      <c r="I289" s="414"/>
      <c r="J289" s="414"/>
      <c r="K289" s="414"/>
      <c r="L289" s="414"/>
      <c r="M289" s="414"/>
      <c r="N289" s="414"/>
      <c r="O289" s="414"/>
      <c r="P289" s="414"/>
      <c r="Q289" s="414"/>
      <c r="R289" s="414"/>
      <c r="S289" s="414"/>
      <c r="T289" s="414"/>
      <c r="U289" s="414"/>
      <c r="V289" s="414"/>
      <c r="W289" s="414"/>
      <c r="X289" s="414"/>
      <c r="Y289" s="414"/>
      <c r="Z289" s="414"/>
      <c r="AA289" s="414"/>
      <c r="AB289" s="414"/>
      <c r="AC289" s="414"/>
      <c r="AD289" s="414"/>
      <c r="AE289" s="414"/>
      <c r="AF289" s="414"/>
      <c r="AG289" s="414"/>
      <c r="AH289" s="414"/>
      <c r="AI289" s="414"/>
      <c r="AJ289" s="414"/>
      <c r="AK289" s="414"/>
      <c r="AL289" s="414"/>
      <c r="AM289" s="414"/>
      <c r="AN289" s="414"/>
      <c r="AO289" s="414"/>
      <c r="AP289" s="414"/>
      <c r="AQ289" s="414"/>
      <c r="AR289" s="414"/>
      <c r="AS289" s="414"/>
      <c r="AT289" s="414"/>
      <c r="AU289" s="414"/>
      <c r="AV289" s="414"/>
      <c r="AW289" s="414"/>
      <c r="AX289" s="414"/>
      <c r="AY289" s="414"/>
      <c r="AZ289" s="414"/>
      <c r="BA289" s="414"/>
      <c r="BB289" s="414"/>
      <c r="BC289" s="414"/>
      <c r="BD289" s="414"/>
      <c r="BE289" s="414"/>
      <c r="BF289" s="414"/>
      <c r="BG289" s="414"/>
      <c r="BH289" s="414"/>
      <c r="BI289" s="414"/>
      <c r="BJ289" s="414"/>
      <c r="BK289" s="414"/>
      <c r="BL289" s="414"/>
      <c r="BM289" s="414"/>
      <c r="BN289" s="415"/>
    </row>
    <row r="290" spans="2:69" ht="51" customHeight="1" x14ac:dyDescent="0.2">
      <c r="B290" s="184" t="s">
        <v>139</v>
      </c>
      <c r="C290" s="401" t="s">
        <v>94</v>
      </c>
      <c r="D290" s="402"/>
      <c r="E290" s="403"/>
      <c r="F290" s="185" t="s">
        <v>95</v>
      </c>
      <c r="G290" s="186" t="s">
        <v>4</v>
      </c>
      <c r="H290" s="187" t="s">
        <v>3</v>
      </c>
      <c r="I290" s="188" t="s">
        <v>96</v>
      </c>
      <c r="J290" s="207" t="s">
        <v>494</v>
      </c>
      <c r="K290" s="207" t="s">
        <v>495</v>
      </c>
      <c r="L290" s="207" t="s">
        <v>380</v>
      </c>
      <c r="M290" s="208" t="s">
        <v>381</v>
      </c>
      <c r="N290" s="207" t="s">
        <v>517</v>
      </c>
      <c r="O290" s="207" t="s">
        <v>518</v>
      </c>
      <c r="P290" s="207" t="s">
        <v>490</v>
      </c>
      <c r="Q290" s="208" t="s">
        <v>491</v>
      </c>
      <c r="R290" s="208" t="s">
        <v>492</v>
      </c>
      <c r="S290" s="208" t="s">
        <v>493</v>
      </c>
      <c r="T290" s="208" t="s">
        <v>519</v>
      </c>
      <c r="U290" s="208" t="s">
        <v>523</v>
      </c>
      <c r="V290" s="208" t="s">
        <v>525</v>
      </c>
      <c r="W290" s="208" t="s">
        <v>571</v>
      </c>
      <c r="X290" s="208" t="s">
        <v>538</v>
      </c>
      <c r="Y290" s="208" t="s">
        <v>553</v>
      </c>
      <c r="Z290" s="208" t="s">
        <v>554</v>
      </c>
      <c r="AA290" s="307" t="s">
        <v>581</v>
      </c>
      <c r="AB290" s="208" t="s">
        <v>570</v>
      </c>
      <c r="AC290" s="307" t="s">
        <v>564</v>
      </c>
      <c r="AD290" s="307" t="s">
        <v>582</v>
      </c>
      <c r="AE290" s="309" t="s">
        <v>578</v>
      </c>
      <c r="AF290" s="307" t="s">
        <v>635</v>
      </c>
      <c r="AG290" s="307" t="s">
        <v>590</v>
      </c>
      <c r="AH290" s="307" t="s">
        <v>606</v>
      </c>
      <c r="AI290" s="307" t="s">
        <v>636</v>
      </c>
      <c r="AJ290" s="307" t="s">
        <v>623</v>
      </c>
      <c r="AK290" s="307" t="s">
        <v>628</v>
      </c>
      <c r="AL290" s="307" t="s">
        <v>637</v>
      </c>
      <c r="AM290" s="307" t="s">
        <v>641</v>
      </c>
      <c r="AN290" s="307" t="s">
        <v>643</v>
      </c>
      <c r="AO290" s="307" t="s">
        <v>646</v>
      </c>
      <c r="AP290" s="307" t="s">
        <v>650</v>
      </c>
      <c r="AQ290" s="307" t="s">
        <v>689</v>
      </c>
      <c r="AR290" s="307" t="s">
        <v>697</v>
      </c>
      <c r="AS290" s="307" t="s">
        <v>725</v>
      </c>
      <c r="AT290" s="307" t="s">
        <v>729</v>
      </c>
      <c r="AU290" s="188" t="s">
        <v>150</v>
      </c>
      <c r="AV290" s="1" t="s">
        <v>5</v>
      </c>
      <c r="AW290" s="1" t="s">
        <v>6</v>
      </c>
      <c r="AX290" s="1" t="s">
        <v>7</v>
      </c>
      <c r="AY290" s="1" t="s">
        <v>8</v>
      </c>
      <c r="AZ290" s="34" t="s">
        <v>157</v>
      </c>
      <c r="BA290" s="2" t="s">
        <v>9</v>
      </c>
      <c r="BB290" s="2" t="s">
        <v>10</v>
      </c>
      <c r="BC290" s="2" t="s">
        <v>11</v>
      </c>
      <c r="BD290" s="2" t="s">
        <v>12</v>
      </c>
      <c r="BE290" s="34" t="s">
        <v>158</v>
      </c>
      <c r="BF290" s="2" t="s">
        <v>13</v>
      </c>
      <c r="BG290" s="2" t="s">
        <v>14</v>
      </c>
      <c r="BH290" s="2" t="s">
        <v>15</v>
      </c>
      <c r="BI290" s="2" t="s">
        <v>16</v>
      </c>
      <c r="BJ290" s="34" t="s">
        <v>159</v>
      </c>
      <c r="BK290" s="189" t="s">
        <v>97</v>
      </c>
      <c r="BL290" s="189" t="s">
        <v>98</v>
      </c>
      <c r="BM290" s="190" t="s">
        <v>236</v>
      </c>
      <c r="BN290" s="189" t="s">
        <v>99</v>
      </c>
    </row>
    <row r="291" spans="2:69" ht="28.5" customHeight="1" x14ac:dyDescent="0.2">
      <c r="B291" s="400" t="s">
        <v>17</v>
      </c>
      <c r="C291" s="400"/>
      <c r="D291" s="400"/>
      <c r="E291" s="400"/>
      <c r="F291" s="400"/>
      <c r="G291" s="400"/>
      <c r="H291" s="400"/>
      <c r="I291" s="54">
        <f>+I292+I296+I301+I302+I307+I309+I311+I312+I310+I314+I318+I320</f>
        <v>20863</v>
      </c>
      <c r="J291" s="54"/>
      <c r="K291" s="54"/>
      <c r="L291" s="54"/>
      <c r="M291" s="54"/>
      <c r="N291" s="54"/>
      <c r="O291" s="54"/>
      <c r="Q291" s="54"/>
      <c r="R291" s="54"/>
      <c r="S291" s="54"/>
      <c r="T291" s="54"/>
      <c r="U291" s="54"/>
      <c r="V291" s="54"/>
      <c r="W291" s="54"/>
      <c r="X291" s="54"/>
      <c r="Y291" s="54"/>
      <c r="Z291" s="54"/>
      <c r="AA291" s="54"/>
      <c r="AB291" s="54"/>
      <c r="AC291" s="54"/>
      <c r="AD291" s="54"/>
      <c r="AE291" s="54"/>
      <c r="AF291" s="54"/>
      <c r="AG291" s="54"/>
      <c r="AH291" s="54"/>
      <c r="AI291" s="54"/>
      <c r="AJ291" s="54"/>
      <c r="AK291" s="54"/>
      <c r="AL291" s="54"/>
      <c r="AM291" s="54"/>
      <c r="AN291" s="54"/>
      <c r="AO291" s="54"/>
      <c r="AP291" s="54"/>
      <c r="AQ291" s="54"/>
      <c r="AR291" s="54"/>
      <c r="AS291" s="54"/>
      <c r="AT291" s="54"/>
      <c r="AU291" s="54">
        <v>37481</v>
      </c>
      <c r="AV291" s="54">
        <f>+AV292+AV296+AV301+AV302+AV307+AV309+AV310+AV311+AV312+AV314+AV318+AV320</f>
        <v>100</v>
      </c>
      <c r="AW291" s="54">
        <f>+AW292+AW296+AW301+AW302+AW307+AW309+AW310+AW311+AW312+AW314+AW318+AW320</f>
        <v>1598</v>
      </c>
      <c r="AX291" s="54">
        <f>+AX292+AX296+AX301+AX302+AX307+AX309+AX310+AX311+AX312+AX314+AX318+AX320</f>
        <v>3992</v>
      </c>
      <c r="AY291" s="54">
        <f>+AY292+AY296+AY301+AY302+AY307+AY309+AY310+AY311+AY312+AY314+AY318+AY320</f>
        <v>4554</v>
      </c>
      <c r="AZ291" s="54">
        <f>SUM(AV291:AY291)</f>
        <v>10244</v>
      </c>
      <c r="BA291" s="54">
        <f t="shared" ref="BA291:BF291" si="61">+BA292+BA296+BA301+BA302+BA307+BA309+BA311+BA312+BA310+BA314+BA318+BA320</f>
        <v>4150</v>
      </c>
      <c r="BB291" s="54">
        <f t="shared" si="61"/>
        <v>4748</v>
      </c>
      <c r="BC291" s="54">
        <f t="shared" si="61"/>
        <v>4888</v>
      </c>
      <c r="BD291" s="54">
        <f t="shared" si="61"/>
        <v>8084</v>
      </c>
      <c r="BE291" s="54">
        <f t="shared" si="61"/>
        <v>21870</v>
      </c>
      <c r="BF291" s="54">
        <f t="shared" si="61"/>
        <v>4337</v>
      </c>
      <c r="BG291" s="54">
        <f>+BG292+BG296+BG301+BG302+BG307+BG309+BG311+BG312+BG310+BG314+BG318+BG320+BG303</f>
        <v>937</v>
      </c>
      <c r="BH291" s="54">
        <f>+BH292+BH296+BH301+BH302+BH307+BH309+BH311+BH312+BH310+BH314+BH318+BH320+BH303</f>
        <v>0</v>
      </c>
      <c r="BI291" s="54">
        <f>+BI292+BI296+BI301+BI302+BI307+BI309+BI311+BI312+BI310+BI314+BI318+BI320+BI303</f>
        <v>0</v>
      </c>
      <c r="BJ291" s="54">
        <f>+BJ292+BJ296+BJ301+BJ302+BJ307+BJ309+BJ311+BJ312+BJ310+BJ314+BJ318+BJ320+BJ303</f>
        <v>5274</v>
      </c>
      <c r="BK291" s="54">
        <f>+BK292+BK296+BK301+BK302+BK307+BK309+BK311+BK312+BK310+BK314+BK318+BK320+BK303</f>
        <v>37388</v>
      </c>
      <c r="BL291" s="104">
        <f>SUM(BK291/AU291)</f>
        <v>0.99751874282970043</v>
      </c>
      <c r="BM291" s="117">
        <f>+BM292+BM307+BM314+BM318</f>
        <v>105450083</v>
      </c>
      <c r="BN291" s="104" t="s">
        <v>681</v>
      </c>
    </row>
    <row r="292" spans="2:69" ht="63" customHeight="1" x14ac:dyDescent="0.2">
      <c r="B292" s="30">
        <v>1</v>
      </c>
      <c r="C292" s="378" t="s">
        <v>177</v>
      </c>
      <c r="D292" s="379"/>
      <c r="E292" s="380"/>
      <c r="F292" s="155"/>
      <c r="G292" s="205"/>
      <c r="H292" s="155" t="s">
        <v>24</v>
      </c>
      <c r="I292" s="10">
        <v>1400</v>
      </c>
      <c r="J292" s="10"/>
      <c r="K292" s="10"/>
      <c r="L292" s="10"/>
      <c r="M292" s="10" t="s">
        <v>439</v>
      </c>
      <c r="N292" s="10"/>
      <c r="O292" s="10"/>
      <c r="Q292" s="10" t="s">
        <v>471</v>
      </c>
      <c r="R292" s="10"/>
      <c r="S292" s="10"/>
      <c r="T292" s="10"/>
      <c r="U292" s="10"/>
      <c r="V292" s="10"/>
      <c r="W292" s="10"/>
      <c r="X292" s="10"/>
      <c r="Y292" s="10"/>
      <c r="Z292" s="10"/>
      <c r="AA292" s="10"/>
      <c r="AB292" s="10"/>
      <c r="AC292" s="10"/>
      <c r="AD292" s="10" t="s">
        <v>572</v>
      </c>
      <c r="AE292" s="10"/>
      <c r="AF292" s="10"/>
      <c r="AG292" s="10"/>
      <c r="AH292" s="10"/>
      <c r="AI292" s="10"/>
      <c r="AJ292" s="10"/>
      <c r="AK292" s="10"/>
      <c r="AL292" s="10"/>
      <c r="AM292" s="10"/>
      <c r="AN292" s="10"/>
      <c r="AO292" s="10"/>
      <c r="AP292" s="10" t="s">
        <v>651</v>
      </c>
      <c r="AQ292" s="10"/>
      <c r="AR292" s="10"/>
      <c r="AS292" s="10"/>
      <c r="AT292" s="10"/>
      <c r="AU292" s="252">
        <v>804</v>
      </c>
      <c r="AV292" s="154">
        <f>+AV293</f>
        <v>98</v>
      </c>
      <c r="AW292" s="5">
        <f>+AW293</f>
        <v>97</v>
      </c>
      <c r="AX292" s="5">
        <v>79</v>
      </c>
      <c r="AY292" s="10">
        <v>73</v>
      </c>
      <c r="AZ292" s="154">
        <f>SUM(AV292:AY292)</f>
        <v>347</v>
      </c>
      <c r="BA292" s="10">
        <v>46</v>
      </c>
      <c r="BB292" s="10">
        <v>68</v>
      </c>
      <c r="BC292" s="10">
        <v>81</v>
      </c>
      <c r="BD292" s="10">
        <v>142</v>
      </c>
      <c r="BE292" s="10">
        <f>SUM(BE293)</f>
        <v>337</v>
      </c>
      <c r="BF292" s="10">
        <v>100</v>
      </c>
      <c r="BG292" s="5">
        <v>17</v>
      </c>
      <c r="BH292" s="10"/>
      <c r="BI292" s="10"/>
      <c r="BJ292" s="237">
        <f t="shared" ref="BJ292:BJ298" si="62">SUM(BF292:BI292)</f>
        <v>117</v>
      </c>
      <c r="BK292" s="154">
        <f>SUM(AZ292+BE292+BJ292)</f>
        <v>801</v>
      </c>
      <c r="BL292" s="298">
        <f>SUM(BK292/AU292)</f>
        <v>0.99626865671641796</v>
      </c>
      <c r="BM292" s="3">
        <v>68068021</v>
      </c>
      <c r="BN292" s="258" t="s">
        <v>670</v>
      </c>
      <c r="BO292" s="61">
        <f>248+248+248+248</f>
        <v>992</v>
      </c>
      <c r="BP292" s="223"/>
      <c r="BQ292" s="223"/>
    </row>
    <row r="293" spans="2:69" ht="75" customHeight="1" x14ac:dyDescent="0.2">
      <c r="B293" s="48"/>
      <c r="C293" s="386"/>
      <c r="D293" s="381"/>
      <c r="E293" s="381"/>
      <c r="F293" s="64" t="s">
        <v>310</v>
      </c>
      <c r="G293" s="50"/>
      <c r="H293" s="19" t="s">
        <v>23</v>
      </c>
      <c r="I293" s="10">
        <v>1400</v>
      </c>
      <c r="J293" s="10"/>
      <c r="K293" s="10"/>
      <c r="L293" s="10"/>
      <c r="M293" s="10" t="s">
        <v>439</v>
      </c>
      <c r="N293" s="10"/>
      <c r="O293" s="10"/>
      <c r="Q293" s="10" t="s">
        <v>471</v>
      </c>
      <c r="R293" s="10"/>
      <c r="S293" s="10"/>
      <c r="T293" s="10"/>
      <c r="U293" s="10"/>
      <c r="V293" s="10"/>
      <c r="W293" s="10"/>
      <c r="X293" s="10"/>
      <c r="Y293" s="10"/>
      <c r="Z293" s="10"/>
      <c r="AA293" s="10"/>
      <c r="AB293" s="10"/>
      <c r="AC293" s="10"/>
      <c r="AD293" s="10" t="s">
        <v>572</v>
      </c>
      <c r="AE293" s="10"/>
      <c r="AF293" s="10"/>
      <c r="AG293" s="10"/>
      <c r="AH293" s="10"/>
      <c r="AI293" s="10"/>
      <c r="AJ293" s="10"/>
      <c r="AK293" s="10"/>
      <c r="AL293" s="10"/>
      <c r="AM293" s="10"/>
      <c r="AN293" s="10"/>
      <c r="AO293" s="10"/>
      <c r="AP293" s="10" t="s">
        <v>651</v>
      </c>
      <c r="AQ293" s="10"/>
      <c r="AR293" s="10"/>
      <c r="AS293" s="10"/>
      <c r="AT293" s="10"/>
      <c r="AU293" s="252">
        <v>804</v>
      </c>
      <c r="AV293" s="154">
        <v>98</v>
      </c>
      <c r="AW293" s="5">
        <v>97</v>
      </c>
      <c r="AX293" s="5">
        <v>79</v>
      </c>
      <c r="AY293" s="67">
        <v>73</v>
      </c>
      <c r="AZ293" s="10">
        <f>SUM(AV293:AY293)</f>
        <v>347</v>
      </c>
      <c r="BA293" s="5">
        <v>46</v>
      </c>
      <c r="BB293" s="5">
        <v>68</v>
      </c>
      <c r="BC293" s="5">
        <v>81</v>
      </c>
      <c r="BD293" s="5">
        <v>142</v>
      </c>
      <c r="BE293" s="7">
        <f t="shared" ref="BE293:BE301" si="63">SUM(BA293+BB293+BC293+BD293)</f>
        <v>337</v>
      </c>
      <c r="BF293" s="5">
        <v>100</v>
      </c>
      <c r="BG293" s="5">
        <v>17</v>
      </c>
      <c r="BH293" s="5"/>
      <c r="BI293" s="5"/>
      <c r="BJ293" s="342">
        <f t="shared" si="62"/>
        <v>117</v>
      </c>
      <c r="BK293" s="10">
        <f>SUM(AZ293+BE293+BJ293)</f>
        <v>801</v>
      </c>
      <c r="BL293" s="298">
        <f>SUM(BK293/AU293)</f>
        <v>0.99626865671641796</v>
      </c>
      <c r="BM293" s="431" t="s">
        <v>683</v>
      </c>
      <c r="BN293" s="432"/>
      <c r="BQ293" s="223"/>
    </row>
    <row r="294" spans="2:69" ht="15.75" customHeight="1" x14ac:dyDescent="0.2">
      <c r="B294" s="48"/>
      <c r="C294" s="95"/>
      <c r="D294" s="158"/>
      <c r="E294" s="159"/>
      <c r="F294" s="50" t="s">
        <v>365</v>
      </c>
      <c r="G294" s="73"/>
      <c r="H294" s="19"/>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54">
        <v>44</v>
      </c>
      <c r="AW294" s="5">
        <v>38</v>
      </c>
      <c r="AX294" s="5">
        <v>22</v>
      </c>
      <c r="AY294" s="5">
        <v>26</v>
      </c>
      <c r="AZ294" s="10">
        <f>+AV294+AW294+AX294+AY294</f>
        <v>130</v>
      </c>
      <c r="BA294" s="5">
        <v>24</v>
      </c>
      <c r="BB294" s="5">
        <v>34</v>
      </c>
      <c r="BC294" s="5">
        <v>38</v>
      </c>
      <c r="BD294" s="5">
        <v>78</v>
      </c>
      <c r="BE294" s="7">
        <f t="shared" si="63"/>
        <v>174</v>
      </c>
      <c r="BF294" s="5">
        <v>39</v>
      </c>
      <c r="BG294" s="5">
        <v>13</v>
      </c>
      <c r="BH294" s="5"/>
      <c r="BI294" s="5"/>
      <c r="BJ294" s="7">
        <f t="shared" si="62"/>
        <v>52</v>
      </c>
      <c r="BK294" s="10">
        <f>+AZ294+BE294+BJ294</f>
        <v>356</v>
      </c>
      <c r="BL294" s="41"/>
      <c r="BM294" s="433"/>
      <c r="BN294" s="434"/>
    </row>
    <row r="295" spans="2:69" ht="15.75" customHeight="1" x14ac:dyDescent="0.2">
      <c r="B295" s="48"/>
      <c r="C295" s="95"/>
      <c r="D295" s="158"/>
      <c r="E295" s="159"/>
      <c r="F295" s="50" t="s">
        <v>366</v>
      </c>
      <c r="G295" s="73"/>
      <c r="H295" s="19"/>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54">
        <v>54</v>
      </c>
      <c r="AW295" s="5">
        <v>59</v>
      </c>
      <c r="AX295" s="5">
        <v>57</v>
      </c>
      <c r="AY295" s="5">
        <v>47</v>
      </c>
      <c r="AZ295" s="10">
        <f>+AV295+AW295+AX295+AY295</f>
        <v>217</v>
      </c>
      <c r="BA295" s="5">
        <v>22</v>
      </c>
      <c r="BB295" s="5">
        <v>34</v>
      </c>
      <c r="BC295" s="5">
        <v>43</v>
      </c>
      <c r="BD295" s="5">
        <v>64</v>
      </c>
      <c r="BE295" s="7">
        <f t="shared" si="63"/>
        <v>163</v>
      </c>
      <c r="BF295" s="5">
        <v>61</v>
      </c>
      <c r="BG295" s="5">
        <v>4</v>
      </c>
      <c r="BH295" s="5"/>
      <c r="BI295" s="5"/>
      <c r="BJ295" s="7">
        <f t="shared" si="62"/>
        <v>65</v>
      </c>
      <c r="BK295" s="10">
        <f>+AZ295+BE295+BJ295</f>
        <v>445</v>
      </c>
      <c r="BL295" s="41"/>
      <c r="BM295" s="433"/>
      <c r="BN295" s="434"/>
    </row>
    <row r="296" spans="2:69" ht="84" customHeight="1" x14ac:dyDescent="0.2">
      <c r="B296" s="48"/>
      <c r="C296" s="386"/>
      <c r="D296" s="381"/>
      <c r="E296" s="381"/>
      <c r="F296" s="64" t="s">
        <v>230</v>
      </c>
      <c r="G296" s="50"/>
      <c r="H296" s="19" t="s">
        <v>51</v>
      </c>
      <c r="I296" s="10">
        <v>10</v>
      </c>
      <c r="J296" s="10"/>
      <c r="K296" s="10"/>
      <c r="L296" s="10"/>
      <c r="M296" s="10" t="s">
        <v>440</v>
      </c>
      <c r="N296" s="10"/>
      <c r="O296" s="10"/>
      <c r="P296" s="10"/>
      <c r="Q296" s="10"/>
      <c r="R296" s="10"/>
      <c r="S296" s="10"/>
      <c r="T296" s="10"/>
      <c r="U296" s="10"/>
      <c r="V296" s="10"/>
      <c r="W296" s="10"/>
      <c r="X296" s="10"/>
      <c r="Y296" s="10"/>
      <c r="Z296" s="10"/>
      <c r="AA296" s="10"/>
      <c r="AB296" s="10"/>
      <c r="AC296" s="10"/>
      <c r="AD296" s="10" t="s">
        <v>539</v>
      </c>
      <c r="AE296" s="10"/>
      <c r="AF296" s="10"/>
      <c r="AG296" s="10"/>
      <c r="AH296" s="10"/>
      <c r="AI296" s="10"/>
      <c r="AJ296" s="10"/>
      <c r="AK296" s="10"/>
      <c r="AL296" s="10"/>
      <c r="AM296" s="10"/>
      <c r="AN296" s="10"/>
      <c r="AO296" s="10"/>
      <c r="AP296" s="10"/>
      <c r="AQ296" s="10"/>
      <c r="AR296" s="10"/>
      <c r="AS296" s="10"/>
      <c r="AT296" s="10"/>
      <c r="AU296" s="252">
        <v>6</v>
      </c>
      <c r="AV296" s="154">
        <v>2</v>
      </c>
      <c r="AW296" s="135" t="s">
        <v>211</v>
      </c>
      <c r="AX296" s="135" t="s">
        <v>211</v>
      </c>
      <c r="AY296" s="135" t="s">
        <v>211</v>
      </c>
      <c r="AZ296" s="135" t="s">
        <v>360</v>
      </c>
      <c r="BA296" s="135" t="s">
        <v>211</v>
      </c>
      <c r="BB296" s="5">
        <v>2</v>
      </c>
      <c r="BC296" s="5">
        <v>1</v>
      </c>
      <c r="BD296" s="5">
        <v>1</v>
      </c>
      <c r="BE296" s="7">
        <f t="shared" si="63"/>
        <v>4</v>
      </c>
      <c r="BF296" s="112" t="s">
        <v>211</v>
      </c>
      <c r="BG296" s="135" t="s">
        <v>211</v>
      </c>
      <c r="BH296" s="135"/>
      <c r="BI296" s="5"/>
      <c r="BJ296" s="112" t="s">
        <v>211</v>
      </c>
      <c r="BK296" s="10">
        <f>SUM(AZ296+BE296+BJ296)</f>
        <v>6</v>
      </c>
      <c r="BL296" s="298">
        <f t="shared" ref="BL296:BL301" si="64">SUM(BK296/AU296)</f>
        <v>1</v>
      </c>
      <c r="BM296" s="435"/>
      <c r="BN296" s="436"/>
    </row>
    <row r="297" spans="2:69" ht="75" customHeight="1" x14ac:dyDescent="0.2">
      <c r="B297" s="48"/>
      <c r="C297" s="381"/>
      <c r="D297" s="381"/>
      <c r="E297" s="381"/>
      <c r="F297" s="150"/>
      <c r="G297" s="16" t="s">
        <v>76</v>
      </c>
      <c r="H297" s="19" t="s">
        <v>19</v>
      </c>
      <c r="I297" s="57">
        <v>12</v>
      </c>
      <c r="J297" s="57"/>
      <c r="K297" s="57"/>
      <c r="L297" s="57"/>
      <c r="M297" s="10" t="s">
        <v>442</v>
      </c>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267">
        <v>6</v>
      </c>
      <c r="AV297" s="8">
        <v>2</v>
      </c>
      <c r="AW297" s="8">
        <v>1</v>
      </c>
      <c r="AX297" s="8">
        <v>1</v>
      </c>
      <c r="AY297" s="111" t="s">
        <v>211</v>
      </c>
      <c r="AZ297" s="65">
        <v>4</v>
      </c>
      <c r="BA297" s="8">
        <v>1</v>
      </c>
      <c r="BB297" s="111" t="s">
        <v>211</v>
      </c>
      <c r="BC297" s="111" t="s">
        <v>211</v>
      </c>
      <c r="BD297" s="8">
        <v>2</v>
      </c>
      <c r="BE297" s="6">
        <f t="shared" si="63"/>
        <v>3</v>
      </c>
      <c r="BF297" s="111" t="s">
        <v>211</v>
      </c>
      <c r="BG297" s="111" t="s">
        <v>211</v>
      </c>
      <c r="BH297" s="136"/>
      <c r="BI297" s="8"/>
      <c r="BJ297" s="111" t="s">
        <v>211</v>
      </c>
      <c r="BK297" s="65">
        <v>6</v>
      </c>
      <c r="BL297" s="284">
        <f t="shared" si="64"/>
        <v>1</v>
      </c>
      <c r="BM297" s="53"/>
      <c r="BN297" s="50"/>
    </row>
    <row r="298" spans="2:69" ht="81.75" customHeight="1" x14ac:dyDescent="0.2">
      <c r="B298" s="48"/>
      <c r="C298" s="381"/>
      <c r="D298" s="381"/>
      <c r="E298" s="381"/>
      <c r="F298" s="150"/>
      <c r="G298" s="16" t="s">
        <v>306</v>
      </c>
      <c r="H298" s="19" t="s">
        <v>19</v>
      </c>
      <c r="I298" s="57">
        <v>25</v>
      </c>
      <c r="J298" s="57"/>
      <c r="K298" s="57"/>
      <c r="L298" s="57"/>
      <c r="M298" s="10" t="s">
        <v>438</v>
      </c>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267">
        <v>18</v>
      </c>
      <c r="AV298" s="8">
        <v>2</v>
      </c>
      <c r="AW298" s="8">
        <v>1</v>
      </c>
      <c r="AX298" s="111" t="s">
        <v>211</v>
      </c>
      <c r="AY298" s="8">
        <v>1</v>
      </c>
      <c r="AZ298" s="65">
        <f>SUM(AV298:AY298)</f>
        <v>4</v>
      </c>
      <c r="BA298" s="8">
        <v>2</v>
      </c>
      <c r="BB298" s="8">
        <v>2</v>
      </c>
      <c r="BC298" s="8">
        <v>4</v>
      </c>
      <c r="BD298" s="8">
        <v>1</v>
      </c>
      <c r="BE298" s="6">
        <f t="shared" si="63"/>
        <v>9</v>
      </c>
      <c r="BF298" s="8">
        <v>2</v>
      </c>
      <c r="BG298" s="8">
        <v>4</v>
      </c>
      <c r="BH298" s="8"/>
      <c r="BI298" s="8"/>
      <c r="BJ298" s="6">
        <f t="shared" si="62"/>
        <v>6</v>
      </c>
      <c r="BK298" s="65">
        <v>18</v>
      </c>
      <c r="BL298" s="284">
        <f t="shared" si="64"/>
        <v>1</v>
      </c>
      <c r="BM298" s="53"/>
      <c r="BN298" s="50"/>
      <c r="BO298" s="61">
        <v>8</v>
      </c>
    </row>
    <row r="299" spans="2:69" ht="102" x14ac:dyDescent="0.2">
      <c r="B299" s="48"/>
      <c r="C299" s="381"/>
      <c r="D299" s="381"/>
      <c r="E299" s="381"/>
      <c r="F299" s="150"/>
      <c r="G299" s="16" t="s">
        <v>307</v>
      </c>
      <c r="H299" s="19" t="s">
        <v>19</v>
      </c>
      <c r="I299" s="57">
        <v>52</v>
      </c>
      <c r="J299" s="57"/>
      <c r="K299" s="57"/>
      <c r="L299" s="57"/>
      <c r="M299" s="10" t="s">
        <v>441</v>
      </c>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267">
        <v>44</v>
      </c>
      <c r="AV299" s="111" t="s">
        <v>211</v>
      </c>
      <c r="AW299" s="8">
        <v>4</v>
      </c>
      <c r="AX299" s="8">
        <v>19</v>
      </c>
      <c r="AY299" s="8">
        <v>3</v>
      </c>
      <c r="AZ299" s="111">
        <f>SUM(AV299:AY299)</f>
        <v>26</v>
      </c>
      <c r="BA299" s="111">
        <v>7</v>
      </c>
      <c r="BB299" s="8">
        <v>5</v>
      </c>
      <c r="BC299" s="8">
        <v>7</v>
      </c>
      <c r="BD299" s="8">
        <v>1</v>
      </c>
      <c r="BE299" s="111">
        <f t="shared" si="63"/>
        <v>20</v>
      </c>
      <c r="BF299" s="8">
        <v>4</v>
      </c>
      <c r="BG299" s="111" t="s">
        <v>476</v>
      </c>
      <c r="BH299" s="111"/>
      <c r="BI299" s="111"/>
      <c r="BJ299" s="111" t="s">
        <v>510</v>
      </c>
      <c r="BK299" s="111" t="s">
        <v>551</v>
      </c>
      <c r="BL299" s="284">
        <f t="shared" si="64"/>
        <v>1</v>
      </c>
      <c r="BM299" s="12"/>
      <c r="BN299" s="50"/>
    </row>
    <row r="300" spans="2:69" ht="82.5" customHeight="1" x14ac:dyDescent="0.2">
      <c r="B300" s="48"/>
      <c r="C300" s="157"/>
      <c r="D300" s="158"/>
      <c r="E300" s="159"/>
      <c r="F300" s="150"/>
      <c r="G300" s="16" t="s">
        <v>374</v>
      </c>
      <c r="H300" s="19" t="s">
        <v>19</v>
      </c>
      <c r="I300" s="57">
        <v>6</v>
      </c>
      <c r="J300" s="57"/>
      <c r="K300" s="57"/>
      <c r="L300" s="57"/>
      <c r="M300" s="10" t="s">
        <v>412</v>
      </c>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57">
        <v>3</v>
      </c>
      <c r="AV300" s="111" t="s">
        <v>211</v>
      </c>
      <c r="AW300" s="111" t="s">
        <v>211</v>
      </c>
      <c r="AX300" s="8">
        <v>1</v>
      </c>
      <c r="AY300" s="8">
        <v>1</v>
      </c>
      <c r="AZ300" s="111" t="s">
        <v>360</v>
      </c>
      <c r="BA300" s="111" t="s">
        <v>211</v>
      </c>
      <c r="BB300" s="111" t="s">
        <v>211</v>
      </c>
      <c r="BC300" s="111" t="s">
        <v>211</v>
      </c>
      <c r="BD300" s="8">
        <v>4</v>
      </c>
      <c r="BE300" s="111" t="s">
        <v>211</v>
      </c>
      <c r="BF300" s="111" t="s">
        <v>211</v>
      </c>
      <c r="BG300" s="111" t="s">
        <v>362</v>
      </c>
      <c r="BH300" s="111"/>
      <c r="BI300" s="111"/>
      <c r="BJ300" s="111" t="s">
        <v>362</v>
      </c>
      <c r="BK300" s="111">
        <f>SUM(AZ300+BE300+BJ300)</f>
        <v>3</v>
      </c>
      <c r="BL300" s="284">
        <f t="shared" si="64"/>
        <v>1</v>
      </c>
      <c r="BM300" s="12"/>
      <c r="BN300" s="102"/>
    </row>
    <row r="301" spans="2:69" ht="71.25" customHeight="1" x14ac:dyDescent="0.2">
      <c r="B301" s="48"/>
      <c r="C301" s="410"/>
      <c r="D301" s="411"/>
      <c r="E301" s="412"/>
      <c r="F301" s="64" t="s">
        <v>308</v>
      </c>
      <c r="G301" s="50"/>
      <c r="H301" s="19" t="s">
        <v>51</v>
      </c>
      <c r="I301" s="93">
        <v>52</v>
      </c>
      <c r="J301" s="93"/>
      <c r="K301" s="93"/>
      <c r="L301" s="93"/>
      <c r="M301" s="10" t="s">
        <v>443</v>
      </c>
      <c r="N301" s="10"/>
      <c r="O301" s="10"/>
      <c r="Q301" s="10" t="s">
        <v>442</v>
      </c>
      <c r="R301" s="10"/>
      <c r="S301" s="10"/>
      <c r="T301" s="10"/>
      <c r="U301" s="10"/>
      <c r="V301" s="10"/>
      <c r="W301" s="10"/>
      <c r="X301" s="10"/>
      <c r="Y301" s="10"/>
      <c r="Z301" s="10"/>
      <c r="AA301" s="10"/>
      <c r="AB301" s="10"/>
      <c r="AC301" s="10"/>
      <c r="AD301" s="10" t="s">
        <v>440</v>
      </c>
      <c r="AE301" s="10"/>
      <c r="AF301" s="10"/>
      <c r="AG301" s="10"/>
      <c r="AH301" s="10"/>
      <c r="AI301" s="10"/>
      <c r="AJ301" s="10"/>
      <c r="AK301" s="10"/>
      <c r="AL301" s="10"/>
      <c r="AM301" s="10"/>
      <c r="AN301" s="10"/>
      <c r="AO301" s="10"/>
      <c r="AP301" s="10"/>
      <c r="AQ301" s="10"/>
      <c r="AR301" s="10"/>
      <c r="AS301" s="10"/>
      <c r="AT301" s="10"/>
      <c r="AU301" s="268">
        <v>11</v>
      </c>
      <c r="AV301" s="135" t="s">
        <v>211</v>
      </c>
      <c r="AW301" s="135" t="s">
        <v>211</v>
      </c>
      <c r="AX301" s="5">
        <v>3</v>
      </c>
      <c r="AY301" s="135" t="s">
        <v>211</v>
      </c>
      <c r="AZ301" s="112" t="s">
        <v>364</v>
      </c>
      <c r="BA301" s="112" t="s">
        <v>211</v>
      </c>
      <c r="BB301" s="112" t="s">
        <v>211</v>
      </c>
      <c r="BC301" s="5">
        <v>5</v>
      </c>
      <c r="BD301" s="112" t="s">
        <v>360</v>
      </c>
      <c r="BE301" s="112">
        <f t="shared" si="63"/>
        <v>7</v>
      </c>
      <c r="BF301" s="5">
        <v>1</v>
      </c>
      <c r="BG301" s="111" t="s">
        <v>211</v>
      </c>
      <c r="BH301" s="112"/>
      <c r="BI301" s="112"/>
      <c r="BJ301" s="112" t="s">
        <v>362</v>
      </c>
      <c r="BK301" s="112">
        <f>SUM(AZ301+BE301+BJ301)</f>
        <v>11</v>
      </c>
      <c r="BL301" s="284">
        <f t="shared" si="64"/>
        <v>1</v>
      </c>
      <c r="BM301" s="233"/>
      <c r="BN301" s="233"/>
    </row>
    <row r="302" spans="2:69" ht="72.75" customHeight="1" x14ac:dyDescent="0.2">
      <c r="B302" s="48"/>
      <c r="C302" s="381"/>
      <c r="D302" s="381"/>
      <c r="E302" s="381"/>
      <c r="F302" s="64" t="s">
        <v>309</v>
      </c>
      <c r="G302" s="50"/>
      <c r="H302" s="19" t="s">
        <v>25</v>
      </c>
      <c r="I302" s="93">
        <v>85</v>
      </c>
      <c r="J302" s="93" t="s">
        <v>357</v>
      </c>
      <c r="K302" s="93" t="s">
        <v>363</v>
      </c>
      <c r="L302" s="93"/>
      <c r="M302" s="10" t="s">
        <v>444</v>
      </c>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240">
        <v>1</v>
      </c>
      <c r="AV302" s="122" t="s">
        <v>211</v>
      </c>
      <c r="AW302" s="122" t="s">
        <v>211</v>
      </c>
      <c r="AX302" s="122" t="s">
        <v>211</v>
      </c>
      <c r="AY302" s="122" t="s">
        <v>211</v>
      </c>
      <c r="AZ302" s="112" t="s">
        <v>211</v>
      </c>
      <c r="BA302" s="112" t="s">
        <v>211</v>
      </c>
      <c r="BB302" s="112" t="s">
        <v>211</v>
      </c>
      <c r="BC302" s="112" t="s">
        <v>211</v>
      </c>
      <c r="BD302" s="112" t="s">
        <v>211</v>
      </c>
      <c r="BE302" s="112" t="s">
        <v>211</v>
      </c>
      <c r="BF302" s="112" t="s">
        <v>211</v>
      </c>
      <c r="BG302" s="111" t="s">
        <v>211</v>
      </c>
      <c r="BH302" s="112"/>
      <c r="BI302" s="112"/>
      <c r="BJ302" s="112" t="s">
        <v>211</v>
      </c>
      <c r="BK302" s="112" t="s">
        <v>211</v>
      </c>
      <c r="BL302" s="112" t="s">
        <v>211</v>
      </c>
      <c r="BM302" s="12"/>
      <c r="BN302" s="55"/>
    </row>
    <row r="303" spans="2:69" ht="99" customHeight="1" x14ac:dyDescent="0.2">
      <c r="B303" s="48"/>
      <c r="C303" s="410"/>
      <c r="D303" s="411"/>
      <c r="E303" s="412"/>
      <c r="F303" s="64" t="s">
        <v>537</v>
      </c>
      <c r="G303" s="50"/>
      <c r="H303" s="19" t="s">
        <v>25</v>
      </c>
      <c r="I303" s="112" t="s">
        <v>211</v>
      </c>
      <c r="J303" s="93"/>
      <c r="K303" s="93"/>
      <c r="L303" s="93"/>
      <c r="M303" s="10"/>
      <c r="N303" s="10"/>
      <c r="O303" s="10"/>
      <c r="P303" s="10"/>
      <c r="Q303" s="10"/>
      <c r="R303" s="10"/>
      <c r="S303" s="10"/>
      <c r="T303" s="10"/>
      <c r="U303" s="10"/>
      <c r="V303" s="10"/>
      <c r="W303" s="10"/>
      <c r="X303" s="10" t="s">
        <v>539</v>
      </c>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240">
        <v>1</v>
      </c>
      <c r="AV303" s="122"/>
      <c r="AW303" s="122"/>
      <c r="AX303" s="122"/>
      <c r="AY303" s="122"/>
      <c r="AZ303" s="112" t="s">
        <v>211</v>
      </c>
      <c r="BA303" s="112" t="s">
        <v>211</v>
      </c>
      <c r="BB303" s="112" t="s">
        <v>211</v>
      </c>
      <c r="BC303" s="135" t="s">
        <v>211</v>
      </c>
      <c r="BD303" s="112" t="s">
        <v>211</v>
      </c>
      <c r="BE303" s="112" t="s">
        <v>211</v>
      </c>
      <c r="BF303" s="112" t="s">
        <v>211</v>
      </c>
      <c r="BG303" s="112" t="s">
        <v>362</v>
      </c>
      <c r="BH303" s="112"/>
      <c r="BI303" s="112"/>
      <c r="BJ303" s="112" t="s">
        <v>362</v>
      </c>
      <c r="BK303" s="112" t="s">
        <v>362</v>
      </c>
      <c r="BL303" s="284">
        <f>SUM(BK303/AU303)</f>
        <v>1</v>
      </c>
      <c r="BM303" s="431"/>
      <c r="BN303" s="432"/>
    </row>
    <row r="304" spans="2:69" s="181" customFormat="1" ht="21" customHeight="1" x14ac:dyDescent="0.2">
      <c r="B304" s="429" t="s">
        <v>133</v>
      </c>
      <c r="C304" s="430"/>
      <c r="D304" s="430"/>
      <c r="E304" s="430"/>
      <c r="F304" s="430"/>
      <c r="G304" s="430"/>
      <c r="H304" s="430"/>
      <c r="I304" s="430"/>
      <c r="J304" s="430"/>
      <c r="K304" s="430"/>
      <c r="L304" s="430"/>
      <c r="M304" s="430"/>
      <c r="N304" s="430"/>
      <c r="O304" s="430"/>
      <c r="P304" s="430"/>
      <c r="Q304" s="430"/>
      <c r="R304" s="430"/>
      <c r="S304" s="430"/>
      <c r="T304" s="430"/>
      <c r="U304" s="430"/>
      <c r="V304" s="430"/>
      <c r="W304" s="430"/>
      <c r="X304" s="430"/>
      <c r="Y304" s="430"/>
      <c r="Z304" s="430"/>
      <c r="AA304" s="430"/>
      <c r="AB304" s="430"/>
      <c r="AC304" s="430"/>
      <c r="AD304" s="430"/>
      <c r="AE304" s="430"/>
      <c r="AF304" s="430"/>
      <c r="AG304" s="430"/>
      <c r="AH304" s="430"/>
      <c r="AI304" s="430"/>
      <c r="AJ304" s="430"/>
      <c r="AK304" s="430"/>
      <c r="AL304" s="430"/>
      <c r="AM304" s="430"/>
      <c r="AN304" s="430"/>
      <c r="AO304" s="430"/>
      <c r="AP304" s="430"/>
      <c r="AQ304" s="430"/>
      <c r="AR304" s="430"/>
      <c r="AS304" s="430"/>
      <c r="AT304" s="430"/>
      <c r="AU304" s="430"/>
      <c r="AV304" s="430"/>
      <c r="AW304" s="430"/>
      <c r="AX304" s="430"/>
      <c r="AY304" s="430"/>
      <c r="AZ304" s="430"/>
      <c r="BA304" s="430"/>
      <c r="BB304" s="430"/>
      <c r="BC304" s="430"/>
      <c r="BD304" s="430"/>
      <c r="BE304" s="430"/>
      <c r="BF304" s="430"/>
      <c r="BG304" s="430"/>
      <c r="BH304" s="430"/>
      <c r="BI304" s="430"/>
      <c r="BJ304" s="430"/>
      <c r="BK304" s="430"/>
      <c r="BL304" s="430"/>
      <c r="BM304" s="430"/>
      <c r="BN304" s="217"/>
    </row>
    <row r="305" spans="2:67" s="181" customFormat="1" ht="31.5" customHeight="1" x14ac:dyDescent="0.2">
      <c r="B305" s="397" t="s">
        <v>102</v>
      </c>
      <c r="C305" s="397"/>
      <c r="D305" s="397"/>
      <c r="E305" s="397"/>
      <c r="F305" s="428" t="s">
        <v>182</v>
      </c>
      <c r="G305" s="428"/>
      <c r="H305" s="428"/>
      <c r="I305" s="428"/>
      <c r="J305" s="428"/>
      <c r="K305" s="428"/>
      <c r="L305" s="428"/>
      <c r="M305" s="428"/>
      <c r="N305" s="428"/>
      <c r="O305" s="428"/>
      <c r="P305" s="428"/>
      <c r="Q305" s="428"/>
      <c r="R305" s="428"/>
      <c r="S305" s="428"/>
      <c r="T305" s="428"/>
      <c r="U305" s="428"/>
      <c r="V305" s="428"/>
      <c r="W305" s="428"/>
      <c r="X305" s="428"/>
      <c r="Y305" s="428"/>
      <c r="Z305" s="428"/>
      <c r="AA305" s="428"/>
      <c r="AB305" s="428"/>
      <c r="AC305" s="428"/>
      <c r="AD305" s="428"/>
      <c r="AE305" s="428"/>
      <c r="AF305" s="428"/>
      <c r="AG305" s="428"/>
      <c r="AH305" s="428"/>
      <c r="AI305" s="428"/>
      <c r="AJ305" s="428"/>
      <c r="AK305" s="428"/>
      <c r="AL305" s="428"/>
      <c r="AM305" s="428"/>
      <c r="AN305" s="428"/>
      <c r="AO305" s="428"/>
      <c r="AP305" s="428"/>
      <c r="AQ305" s="428"/>
      <c r="AR305" s="428"/>
      <c r="AS305" s="428"/>
      <c r="AT305" s="428"/>
      <c r="AU305" s="428"/>
      <c r="AV305" s="428"/>
      <c r="AW305" s="428"/>
      <c r="AX305" s="428"/>
      <c r="AY305" s="428"/>
      <c r="AZ305" s="428"/>
      <c r="BA305" s="428"/>
      <c r="BB305" s="428"/>
      <c r="BC305" s="428"/>
      <c r="BD305" s="428"/>
      <c r="BE305" s="428"/>
      <c r="BF305" s="428"/>
      <c r="BG305" s="428"/>
      <c r="BH305" s="428"/>
      <c r="BI305" s="428"/>
      <c r="BJ305" s="428"/>
      <c r="BK305" s="428"/>
      <c r="BL305" s="428"/>
      <c r="BM305" s="428"/>
      <c r="BN305" s="428"/>
    </row>
    <row r="306" spans="2:67" s="181" customFormat="1" ht="23.25" customHeight="1" x14ac:dyDescent="0.2">
      <c r="B306" s="387" t="s">
        <v>103</v>
      </c>
      <c r="C306" s="387"/>
      <c r="D306" s="387"/>
      <c r="E306" s="387"/>
      <c r="F306" s="392" t="s">
        <v>203</v>
      </c>
      <c r="G306" s="392"/>
      <c r="H306" s="392"/>
      <c r="I306" s="392"/>
      <c r="J306" s="392"/>
      <c r="K306" s="392"/>
      <c r="L306" s="392"/>
      <c r="M306" s="392"/>
      <c r="N306" s="392"/>
      <c r="O306" s="392"/>
      <c r="P306" s="392"/>
      <c r="Q306" s="392"/>
      <c r="R306" s="392"/>
      <c r="S306" s="392"/>
      <c r="T306" s="392"/>
      <c r="U306" s="392"/>
      <c r="V306" s="392"/>
      <c r="W306" s="392"/>
      <c r="X306" s="392"/>
      <c r="Y306" s="392"/>
      <c r="Z306" s="392"/>
      <c r="AA306" s="392"/>
      <c r="AB306" s="392"/>
      <c r="AC306" s="392"/>
      <c r="AD306" s="392"/>
      <c r="AE306" s="392"/>
      <c r="AF306" s="392"/>
      <c r="AG306" s="392"/>
      <c r="AH306" s="392"/>
      <c r="AI306" s="392"/>
      <c r="AJ306" s="392"/>
      <c r="AK306" s="392"/>
      <c r="AL306" s="392"/>
      <c r="AM306" s="392"/>
      <c r="AN306" s="392"/>
      <c r="AO306" s="392"/>
      <c r="AP306" s="392"/>
      <c r="AQ306" s="392"/>
      <c r="AR306" s="392"/>
      <c r="AS306" s="392"/>
      <c r="AT306" s="392"/>
      <c r="AU306" s="392"/>
      <c r="AV306" s="392"/>
      <c r="AW306" s="392"/>
      <c r="AX306" s="392"/>
      <c r="AY306" s="392"/>
      <c r="AZ306" s="392"/>
      <c r="BA306" s="392"/>
      <c r="BB306" s="392"/>
      <c r="BC306" s="392"/>
      <c r="BD306" s="392"/>
      <c r="BE306" s="392"/>
      <c r="BF306" s="392"/>
      <c r="BG306" s="392"/>
      <c r="BH306" s="392"/>
      <c r="BI306" s="392"/>
      <c r="BJ306" s="392"/>
      <c r="BK306" s="392"/>
      <c r="BL306" s="392"/>
      <c r="BM306" s="392"/>
      <c r="BN306" s="392"/>
    </row>
    <row r="307" spans="2:67" ht="87" customHeight="1" x14ac:dyDescent="0.2">
      <c r="B307" s="30">
        <v>4</v>
      </c>
      <c r="C307" s="470" t="s">
        <v>640</v>
      </c>
      <c r="D307" s="470"/>
      <c r="E307" s="470"/>
      <c r="F307" s="8"/>
      <c r="G307" s="16"/>
      <c r="H307" s="155" t="s">
        <v>24</v>
      </c>
      <c r="I307" s="154">
        <v>15000</v>
      </c>
      <c r="J307" s="93" t="s">
        <v>377</v>
      </c>
      <c r="K307" s="154"/>
      <c r="L307" s="179"/>
      <c r="M307" s="10" t="s">
        <v>445</v>
      </c>
      <c r="N307" s="10"/>
      <c r="O307" s="10"/>
      <c r="P307" s="10"/>
      <c r="Q307" s="10"/>
      <c r="R307" s="10"/>
      <c r="S307" s="10"/>
      <c r="T307" s="10"/>
      <c r="U307" s="10"/>
      <c r="V307" s="10"/>
      <c r="W307" s="10"/>
      <c r="X307" s="10"/>
      <c r="Y307" s="10"/>
      <c r="Z307" s="10"/>
      <c r="AA307" s="10"/>
      <c r="AB307" s="10"/>
      <c r="AC307" s="10"/>
      <c r="AD307" s="10" t="s">
        <v>573</v>
      </c>
      <c r="AE307" s="10"/>
      <c r="AF307" s="10"/>
      <c r="AG307" s="10"/>
      <c r="AH307" s="10"/>
      <c r="AI307" s="10"/>
      <c r="AJ307" s="10"/>
      <c r="AK307" s="10"/>
      <c r="AL307" s="10"/>
      <c r="AM307" s="10"/>
      <c r="AN307" s="10"/>
      <c r="AO307" s="10"/>
      <c r="AU307" s="262">
        <v>28585</v>
      </c>
      <c r="AV307" s="135" t="s">
        <v>211</v>
      </c>
      <c r="AW307" s="179">
        <f>+AW308</f>
        <v>1175</v>
      </c>
      <c r="AX307" s="248">
        <v>3389</v>
      </c>
      <c r="AY307" s="272">
        <f>+AY308</f>
        <v>3484</v>
      </c>
      <c r="AZ307" s="242">
        <f>SUM(AV307:AY307)</f>
        <v>8048</v>
      </c>
      <c r="BA307" s="242">
        <v>3304</v>
      </c>
      <c r="BB307" s="286">
        <v>4125</v>
      </c>
      <c r="BC307" s="293">
        <v>3430</v>
      </c>
      <c r="BD307" s="242">
        <v>6360</v>
      </c>
      <c r="BE307" s="242">
        <f t="shared" ref="BE307:BE314" si="65">SUM(BA307+BB307+BC307+BD307)</f>
        <v>17219</v>
      </c>
      <c r="BF307" s="242">
        <v>3318</v>
      </c>
      <c r="BG307" s="111" t="s">
        <v>211</v>
      </c>
      <c r="BH307" s="242"/>
      <c r="BI307" s="242"/>
      <c r="BJ307" s="242">
        <v>3318</v>
      </c>
      <c r="BK307" s="242">
        <f t="shared" ref="BK307:BK312" si="66">SUM(AZ307+BE307+BJ307)</f>
        <v>28585</v>
      </c>
      <c r="BL307" s="313">
        <f t="shared" ref="BL307:BL312" si="67">SUM(BK307/AU307)</f>
        <v>1</v>
      </c>
      <c r="BM307" s="3">
        <v>33958541</v>
      </c>
      <c r="BN307" s="258" t="s">
        <v>591</v>
      </c>
    </row>
    <row r="308" spans="2:67" ht="56.25" customHeight="1" x14ac:dyDescent="0.2">
      <c r="B308" s="48"/>
      <c r="C308" s="381"/>
      <c r="D308" s="381"/>
      <c r="E308" s="381"/>
      <c r="F308" s="64" t="s">
        <v>311</v>
      </c>
      <c r="G308" s="50"/>
      <c r="H308" s="19" t="s">
        <v>23</v>
      </c>
      <c r="I308" s="10">
        <v>15000</v>
      </c>
      <c r="J308" s="93" t="s">
        <v>377</v>
      </c>
      <c r="K308" s="10"/>
      <c r="L308" s="10"/>
      <c r="M308" s="10" t="s">
        <v>445</v>
      </c>
      <c r="N308" s="10"/>
      <c r="O308" s="10"/>
      <c r="P308" s="10"/>
      <c r="Q308" s="10"/>
      <c r="R308" s="10"/>
      <c r="S308" s="10"/>
      <c r="T308" s="10"/>
      <c r="U308" s="10"/>
      <c r="V308" s="10"/>
      <c r="W308" s="10"/>
      <c r="X308" s="10"/>
      <c r="Y308" s="10"/>
      <c r="Z308" s="10"/>
      <c r="AA308" s="10"/>
      <c r="AB308" s="10"/>
      <c r="AC308" s="10"/>
      <c r="AD308" s="10" t="s">
        <v>573</v>
      </c>
      <c r="AE308" s="10"/>
      <c r="AF308" s="10"/>
      <c r="AG308" s="10"/>
      <c r="AH308" s="10"/>
      <c r="AI308" s="10"/>
      <c r="AJ308" s="10"/>
      <c r="AK308" s="10"/>
      <c r="AL308" s="10"/>
      <c r="AM308" s="10"/>
      <c r="AN308" s="10"/>
      <c r="AO308" s="10"/>
      <c r="AU308" s="262">
        <v>28585</v>
      </c>
      <c r="AV308" s="135" t="s">
        <v>211</v>
      </c>
      <c r="AW308" s="96">
        <v>1175</v>
      </c>
      <c r="AX308" s="96">
        <v>3389</v>
      </c>
      <c r="AY308" s="96">
        <v>3484</v>
      </c>
      <c r="AZ308" s="242">
        <f>SUM(AV308:AY308)</f>
        <v>8048</v>
      </c>
      <c r="BA308" s="242">
        <v>3304</v>
      </c>
      <c r="BB308" s="286">
        <v>4125</v>
      </c>
      <c r="BC308" s="293">
        <v>3430</v>
      </c>
      <c r="BD308" s="242">
        <v>6360</v>
      </c>
      <c r="BE308" s="242">
        <f t="shared" si="65"/>
        <v>17219</v>
      </c>
      <c r="BF308" s="242">
        <v>3318</v>
      </c>
      <c r="BG308" s="111" t="s">
        <v>211</v>
      </c>
      <c r="BH308" s="242"/>
      <c r="BI308" s="242"/>
      <c r="BJ308" s="242">
        <f>SUM(BF308:BI308)</f>
        <v>3318</v>
      </c>
      <c r="BK308" s="242">
        <f t="shared" si="66"/>
        <v>28585</v>
      </c>
      <c r="BL308" s="313">
        <f t="shared" si="67"/>
        <v>1</v>
      </c>
      <c r="BM308" s="233"/>
      <c r="BN308" s="233"/>
    </row>
    <row r="309" spans="2:67" ht="85.5" customHeight="1" x14ac:dyDescent="0.2">
      <c r="B309" s="48"/>
      <c r="C309" s="410"/>
      <c r="D309" s="411"/>
      <c r="E309" s="412"/>
      <c r="F309" s="64" t="s">
        <v>315</v>
      </c>
      <c r="G309" s="50"/>
      <c r="H309" s="19" t="s">
        <v>51</v>
      </c>
      <c r="I309" s="65">
        <v>15</v>
      </c>
      <c r="J309" s="65"/>
      <c r="K309" s="65"/>
      <c r="L309" s="65"/>
      <c r="M309" s="10" t="s">
        <v>426</v>
      </c>
      <c r="N309" s="10"/>
      <c r="O309" s="10"/>
      <c r="P309" s="10"/>
      <c r="Q309" s="10"/>
      <c r="R309" s="10"/>
      <c r="S309" s="10"/>
      <c r="T309" s="10"/>
      <c r="U309" s="10"/>
      <c r="V309" s="10"/>
      <c r="W309" s="10"/>
      <c r="X309" s="10"/>
      <c r="Y309" s="10"/>
      <c r="Z309" s="10"/>
      <c r="AA309" s="10"/>
      <c r="AB309" s="10"/>
      <c r="AC309" s="10"/>
      <c r="AD309" s="10" t="s">
        <v>359</v>
      </c>
      <c r="AE309" s="10"/>
      <c r="AF309" s="10"/>
      <c r="AG309" s="10"/>
      <c r="AH309" s="10"/>
      <c r="AI309" s="10"/>
      <c r="AJ309" s="10"/>
      <c r="AK309" s="10"/>
      <c r="AL309" s="10"/>
      <c r="AM309" s="10"/>
      <c r="AN309" s="10"/>
      <c r="AO309" s="10"/>
      <c r="AP309" s="10"/>
      <c r="AQ309" s="10"/>
      <c r="AR309" s="10"/>
      <c r="AS309" s="10"/>
      <c r="AT309" s="10"/>
      <c r="AU309" s="252">
        <v>33</v>
      </c>
      <c r="AV309" s="122" t="s">
        <v>211</v>
      </c>
      <c r="AW309" s="122" t="s">
        <v>211</v>
      </c>
      <c r="AX309" s="122" t="s">
        <v>211</v>
      </c>
      <c r="AY309" s="122" t="s">
        <v>211</v>
      </c>
      <c r="AZ309" s="122" t="s">
        <v>211</v>
      </c>
      <c r="BA309" s="122" t="s">
        <v>211</v>
      </c>
      <c r="BB309" s="300">
        <v>32</v>
      </c>
      <c r="BC309" s="122" t="s">
        <v>211</v>
      </c>
      <c r="BD309" s="311">
        <v>1</v>
      </c>
      <c r="BE309" s="122">
        <f t="shared" si="65"/>
        <v>33</v>
      </c>
      <c r="BF309" s="122" t="s">
        <v>211</v>
      </c>
      <c r="BG309" s="111" t="s">
        <v>211</v>
      </c>
      <c r="BH309" s="122"/>
      <c r="BI309" s="122"/>
      <c r="BJ309" s="122" t="s">
        <v>211</v>
      </c>
      <c r="BK309" s="122">
        <f t="shared" si="66"/>
        <v>33</v>
      </c>
      <c r="BL309" s="313">
        <f t="shared" si="67"/>
        <v>1</v>
      </c>
      <c r="BM309" s="12"/>
      <c r="BN309" s="12"/>
    </row>
    <row r="310" spans="2:67" ht="82.5" customHeight="1" x14ac:dyDescent="0.2">
      <c r="B310" s="48"/>
      <c r="C310" s="410"/>
      <c r="D310" s="411"/>
      <c r="E310" s="412"/>
      <c r="F310" s="64" t="s">
        <v>314</v>
      </c>
      <c r="G310" s="50"/>
      <c r="H310" s="19" t="s">
        <v>51</v>
      </c>
      <c r="I310" s="65">
        <v>250</v>
      </c>
      <c r="J310" s="65"/>
      <c r="K310" s="65"/>
      <c r="L310" s="65"/>
      <c r="M310" s="10" t="s">
        <v>448</v>
      </c>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t="s">
        <v>642</v>
      </c>
      <c r="AN310" s="10"/>
      <c r="AO310" s="10"/>
      <c r="AP310" s="10"/>
      <c r="AQ310" s="10"/>
      <c r="AR310" s="10"/>
      <c r="AS310" s="10"/>
      <c r="AT310" s="10"/>
      <c r="AU310" s="264">
        <v>525</v>
      </c>
      <c r="AV310" s="122" t="s">
        <v>211</v>
      </c>
      <c r="AW310" s="96">
        <v>25</v>
      </c>
      <c r="AX310" s="96">
        <v>377</v>
      </c>
      <c r="AY310" s="135" t="s">
        <v>211</v>
      </c>
      <c r="AZ310" s="122">
        <f>SUM(AV310:AY310)</f>
        <v>402</v>
      </c>
      <c r="BA310" s="122" t="s">
        <v>211</v>
      </c>
      <c r="BB310" s="135" t="s">
        <v>211</v>
      </c>
      <c r="BC310" s="135" t="s">
        <v>211</v>
      </c>
      <c r="BD310" s="135" t="s">
        <v>211</v>
      </c>
      <c r="BE310" s="122" t="s">
        <v>211</v>
      </c>
      <c r="BF310" s="122" t="s">
        <v>211</v>
      </c>
      <c r="BG310" s="122" t="s">
        <v>684</v>
      </c>
      <c r="BH310" s="122"/>
      <c r="BI310" s="122"/>
      <c r="BJ310" s="122" t="s">
        <v>684</v>
      </c>
      <c r="BK310" s="122">
        <f t="shared" si="66"/>
        <v>525</v>
      </c>
      <c r="BL310" s="329">
        <f t="shared" si="67"/>
        <v>1</v>
      </c>
      <c r="BM310" s="331"/>
      <c r="BN310" s="331"/>
    </row>
    <row r="311" spans="2:67" ht="86.25" customHeight="1" x14ac:dyDescent="0.2">
      <c r="B311" s="48"/>
      <c r="C311" s="410"/>
      <c r="D311" s="411"/>
      <c r="E311" s="412"/>
      <c r="F311" s="64" t="s">
        <v>312</v>
      </c>
      <c r="G311" s="50"/>
      <c r="H311" s="19" t="s">
        <v>51</v>
      </c>
      <c r="I311" s="65">
        <v>200</v>
      </c>
      <c r="J311" s="93" t="s">
        <v>378</v>
      </c>
      <c r="K311" s="65"/>
      <c r="L311" s="65"/>
      <c r="M311" s="10" t="s">
        <v>446</v>
      </c>
      <c r="N311" s="10"/>
      <c r="O311" s="10"/>
      <c r="P311" s="10"/>
      <c r="Q311" s="10"/>
      <c r="R311" s="10"/>
      <c r="S311" s="10"/>
      <c r="T311" s="10"/>
      <c r="U311" s="10"/>
      <c r="V311" s="10"/>
      <c r="W311" s="10"/>
      <c r="X311" s="10"/>
      <c r="Y311" s="10"/>
      <c r="Z311" s="10"/>
      <c r="AA311" s="10"/>
      <c r="AB311" s="10"/>
      <c r="AC311" s="10"/>
      <c r="AD311" s="10" t="s">
        <v>413</v>
      </c>
      <c r="AE311" s="10"/>
      <c r="AF311" s="10"/>
      <c r="AG311" s="10"/>
      <c r="AH311" s="10"/>
      <c r="AI311" s="10"/>
      <c r="AJ311" s="10"/>
      <c r="AK311" s="10"/>
      <c r="AL311" s="10"/>
      <c r="AM311" s="10"/>
      <c r="AN311" s="10"/>
      <c r="AO311" s="10"/>
      <c r="AP311" s="10"/>
      <c r="AQ311" s="10"/>
      <c r="AR311" s="10"/>
      <c r="AS311" s="10"/>
      <c r="AT311" s="10"/>
      <c r="AU311" s="237">
        <v>256</v>
      </c>
      <c r="AV311" s="122" t="s">
        <v>211</v>
      </c>
      <c r="AW311" s="122" t="s">
        <v>211</v>
      </c>
      <c r="AX311" s="96">
        <v>37</v>
      </c>
      <c r="AY311" s="122" t="s">
        <v>211</v>
      </c>
      <c r="AZ311" s="122" t="s">
        <v>477</v>
      </c>
      <c r="BA311" s="122">
        <v>94</v>
      </c>
      <c r="BB311" s="5">
        <v>48</v>
      </c>
      <c r="BC311" s="5">
        <v>62</v>
      </c>
      <c r="BD311" s="5">
        <v>15</v>
      </c>
      <c r="BE311" s="122">
        <f t="shared" si="65"/>
        <v>219</v>
      </c>
      <c r="BF311" s="122" t="s">
        <v>211</v>
      </c>
      <c r="BG311" s="122" t="s">
        <v>211</v>
      </c>
      <c r="BH311" s="122"/>
      <c r="BI311" s="122"/>
      <c r="BJ311" s="122" t="s">
        <v>211</v>
      </c>
      <c r="BK311" s="122">
        <f t="shared" si="66"/>
        <v>256</v>
      </c>
      <c r="BL311" s="313">
        <f t="shared" si="67"/>
        <v>1</v>
      </c>
      <c r="BM311" s="12"/>
      <c r="BN311" s="12"/>
    </row>
    <row r="312" spans="2:67" ht="74.25" customHeight="1" x14ac:dyDescent="0.2">
      <c r="B312" s="200"/>
      <c r="C312" s="381"/>
      <c r="D312" s="381"/>
      <c r="E312" s="381"/>
      <c r="F312" s="64" t="s">
        <v>313</v>
      </c>
      <c r="G312" s="50"/>
      <c r="H312" s="19" t="s">
        <v>51</v>
      </c>
      <c r="I312" s="65">
        <v>100</v>
      </c>
      <c r="J312" s="65"/>
      <c r="K312" s="65"/>
      <c r="L312" s="65"/>
      <c r="M312" s="10" t="s">
        <v>447</v>
      </c>
      <c r="N312" s="10"/>
      <c r="O312" s="10"/>
      <c r="P312" s="10"/>
      <c r="Q312" s="10"/>
      <c r="R312" s="10"/>
      <c r="S312" s="10"/>
      <c r="T312" s="10"/>
      <c r="U312" s="10"/>
      <c r="V312" s="10"/>
      <c r="W312" s="10"/>
      <c r="X312" s="10"/>
      <c r="Y312" s="10"/>
      <c r="Z312" s="10"/>
      <c r="AA312" s="10"/>
      <c r="AB312" s="10"/>
      <c r="AC312" s="10"/>
      <c r="AD312" s="10" t="s">
        <v>574</v>
      </c>
      <c r="AE312" s="10"/>
      <c r="AF312" s="10"/>
      <c r="AG312" s="10"/>
      <c r="AH312" s="10"/>
      <c r="AI312" s="10"/>
      <c r="AJ312" s="10"/>
      <c r="AK312" s="10"/>
      <c r="AL312" s="10"/>
      <c r="AM312" s="10"/>
      <c r="AN312" s="10"/>
      <c r="AO312" s="10"/>
      <c r="AP312" s="10"/>
      <c r="AQ312" s="10"/>
      <c r="AR312" s="10"/>
      <c r="AS312" s="10" t="s">
        <v>417</v>
      </c>
      <c r="AT312" s="10"/>
      <c r="AU312" s="237">
        <v>174</v>
      </c>
      <c r="AV312" s="122" t="s">
        <v>211</v>
      </c>
      <c r="AW312" s="10">
        <v>38</v>
      </c>
      <c r="AX312" s="96">
        <v>27</v>
      </c>
      <c r="AY312" s="96">
        <v>34</v>
      </c>
      <c r="AZ312" s="122" t="s">
        <v>502</v>
      </c>
      <c r="BA312" s="122">
        <v>34</v>
      </c>
      <c r="BB312" s="5">
        <v>15</v>
      </c>
      <c r="BC312" s="122" t="s">
        <v>211</v>
      </c>
      <c r="BD312" s="122" t="s">
        <v>211</v>
      </c>
      <c r="BE312" s="122">
        <f t="shared" si="65"/>
        <v>49</v>
      </c>
      <c r="BF312" s="122" t="s">
        <v>508</v>
      </c>
      <c r="BG312" s="122" t="s">
        <v>211</v>
      </c>
      <c r="BH312" s="122"/>
      <c r="BI312" s="122"/>
      <c r="BJ312" s="122" t="s">
        <v>508</v>
      </c>
      <c r="BK312" s="122">
        <f t="shared" si="66"/>
        <v>172</v>
      </c>
      <c r="BL312" s="246">
        <f t="shared" si="67"/>
        <v>0.9885057471264368</v>
      </c>
      <c r="BM312" s="12"/>
      <c r="BN312" s="12"/>
    </row>
    <row r="313" spans="2:67" ht="48" customHeight="1" x14ac:dyDescent="0.2">
      <c r="B313" s="206"/>
      <c r="C313" s="553" t="s">
        <v>148</v>
      </c>
      <c r="D313" s="554"/>
      <c r="E313" s="555"/>
      <c r="F313" s="394" t="s">
        <v>204</v>
      </c>
      <c r="G313" s="395"/>
      <c r="H313" s="395"/>
      <c r="I313" s="395"/>
      <c r="J313" s="395"/>
      <c r="K313" s="395"/>
      <c r="L313" s="395"/>
      <c r="M313" s="395"/>
      <c r="N313" s="395"/>
      <c r="O313" s="395"/>
      <c r="P313" s="395"/>
      <c r="Q313" s="395"/>
      <c r="R313" s="395"/>
      <c r="S313" s="395"/>
      <c r="T313" s="395"/>
      <c r="U313" s="395"/>
      <c r="V313" s="395"/>
      <c r="W313" s="395"/>
      <c r="X313" s="395"/>
      <c r="Y313" s="395"/>
      <c r="Z313" s="395"/>
      <c r="AA313" s="395"/>
      <c r="AB313" s="395"/>
      <c r="AC313" s="395"/>
      <c r="AD313" s="395"/>
      <c r="AE313" s="395"/>
      <c r="AF313" s="395"/>
      <c r="AG313" s="395"/>
      <c r="AH313" s="395"/>
      <c r="AI313" s="395"/>
      <c r="AJ313" s="395"/>
      <c r="AK313" s="395"/>
      <c r="AL313" s="395"/>
      <c r="AM313" s="395"/>
      <c r="AN313" s="395"/>
      <c r="AO313" s="395"/>
      <c r="AP313" s="395"/>
      <c r="AQ313" s="395"/>
      <c r="AR313" s="395"/>
      <c r="AS313" s="395"/>
      <c r="AT313" s="395"/>
      <c r="AU313" s="395"/>
      <c r="AV313" s="395"/>
      <c r="AW313" s="395"/>
      <c r="AX313" s="395"/>
      <c r="AY313" s="395"/>
      <c r="AZ313" s="395"/>
      <c r="BA313" s="395"/>
      <c r="BB313" s="395"/>
      <c r="BC313" s="395"/>
      <c r="BD313" s="395"/>
      <c r="BE313" s="395"/>
      <c r="BF313" s="395"/>
      <c r="BG313" s="395"/>
      <c r="BH313" s="395"/>
      <c r="BI313" s="395"/>
      <c r="BJ313" s="395"/>
      <c r="BK313" s="395"/>
      <c r="BL313" s="395"/>
      <c r="BM313" s="395"/>
      <c r="BN313" s="396"/>
    </row>
    <row r="314" spans="2:67" ht="95.25" customHeight="1" x14ac:dyDescent="0.2">
      <c r="B314" s="30">
        <v>2</v>
      </c>
      <c r="C314" s="378" t="s">
        <v>316</v>
      </c>
      <c r="D314" s="379"/>
      <c r="E314" s="380"/>
      <c r="F314" s="155"/>
      <c r="G314" s="200"/>
      <c r="H314" s="5" t="s">
        <v>23</v>
      </c>
      <c r="I314" s="154">
        <v>1748</v>
      </c>
      <c r="J314" s="154"/>
      <c r="K314" s="154"/>
      <c r="L314" s="179"/>
      <c r="M314" s="10" t="s">
        <v>451</v>
      </c>
      <c r="N314" s="10"/>
      <c r="O314" s="10"/>
      <c r="P314" s="10"/>
      <c r="Q314" s="10"/>
      <c r="R314" s="10"/>
      <c r="S314" s="10"/>
      <c r="T314" s="10"/>
      <c r="U314" s="10"/>
      <c r="V314" s="10"/>
      <c r="W314" s="10"/>
      <c r="X314" s="10"/>
      <c r="Y314" s="10"/>
      <c r="Z314" s="10"/>
      <c r="AA314" s="10"/>
      <c r="AB314" s="10"/>
      <c r="AC314" s="10"/>
      <c r="AD314" s="10" t="s">
        <v>575</v>
      </c>
      <c r="AE314" s="10"/>
      <c r="AF314" s="10"/>
      <c r="AG314" s="10"/>
      <c r="AH314" s="10"/>
      <c r="AI314" s="10"/>
      <c r="AJ314" s="10"/>
      <c r="AK314" s="10"/>
      <c r="AL314" s="10"/>
      <c r="AM314" s="10"/>
      <c r="AN314" s="10"/>
      <c r="AO314" s="10"/>
      <c r="AP314" s="10" t="s">
        <v>654</v>
      </c>
      <c r="AQ314" s="10"/>
      <c r="AR314" s="10"/>
      <c r="AS314" s="10"/>
      <c r="AT314" s="10"/>
      <c r="AU314" s="262">
        <v>4460</v>
      </c>
      <c r="AV314" s="135" t="s">
        <v>211</v>
      </c>
      <c r="AW314" s="135" t="s">
        <v>211</v>
      </c>
      <c r="AX314" s="135" t="s">
        <v>211</v>
      </c>
      <c r="AY314" s="154">
        <v>810</v>
      </c>
      <c r="AZ314" s="135" t="s">
        <v>499</v>
      </c>
      <c r="BA314" s="135">
        <v>75</v>
      </c>
      <c r="BB314" s="5">
        <v>294</v>
      </c>
      <c r="BC314" s="5">
        <f>+BC315+BC316</f>
        <v>622</v>
      </c>
      <c r="BD314" s="135" t="s">
        <v>584</v>
      </c>
      <c r="BE314" s="242">
        <f t="shared" si="65"/>
        <v>2123</v>
      </c>
      <c r="BF314" s="135" t="s">
        <v>603</v>
      </c>
      <c r="BG314" s="369" t="s">
        <v>685</v>
      </c>
      <c r="BH314" s="320"/>
      <c r="BI314" s="320" t="s">
        <v>211</v>
      </c>
      <c r="BJ314" s="10">
        <v>1490</v>
      </c>
      <c r="BK314" s="10">
        <f>+AZ314+BE314+BJ314</f>
        <v>4423</v>
      </c>
      <c r="BL314" s="41">
        <v>0.98972222222222217</v>
      </c>
      <c r="BM314" s="3">
        <v>1457288</v>
      </c>
      <c r="BN314" s="255" t="s">
        <v>714</v>
      </c>
      <c r="BO314" s="61">
        <v>0</v>
      </c>
    </row>
    <row r="315" spans="2:67" ht="48.75" customHeight="1" outlineLevel="1" x14ac:dyDescent="0.2">
      <c r="B315" s="48"/>
      <c r="C315" s="381"/>
      <c r="D315" s="381"/>
      <c r="E315" s="381"/>
      <c r="F315" s="64" t="s">
        <v>317</v>
      </c>
      <c r="G315" s="50"/>
      <c r="H315" s="8" t="s">
        <v>23</v>
      </c>
      <c r="I315" s="154">
        <v>1000</v>
      </c>
      <c r="J315" s="154"/>
      <c r="K315" s="154"/>
      <c r="L315" s="179"/>
      <c r="M315" s="10" t="s">
        <v>449</v>
      </c>
      <c r="N315" s="10"/>
      <c r="O315" s="10"/>
      <c r="P315" s="10"/>
      <c r="Q315" s="10"/>
      <c r="R315" s="10"/>
      <c r="S315" s="10"/>
      <c r="T315" s="10"/>
      <c r="U315" s="10"/>
      <c r="V315" s="10"/>
      <c r="W315" s="10"/>
      <c r="X315" s="10"/>
      <c r="Y315" s="10"/>
      <c r="Z315" s="10"/>
      <c r="AA315" s="10"/>
      <c r="AB315" s="10"/>
      <c r="AC315" s="10"/>
      <c r="AD315" s="10" t="s">
        <v>575</v>
      </c>
      <c r="AE315" s="10"/>
      <c r="AF315" s="10"/>
      <c r="AG315" s="10"/>
      <c r="AH315" s="10"/>
      <c r="AI315" s="10"/>
      <c r="AJ315" s="10"/>
      <c r="AK315" s="10"/>
      <c r="AL315" s="10"/>
      <c r="AM315" s="10"/>
      <c r="AN315" s="10"/>
      <c r="AO315" s="10"/>
      <c r="AP315" s="10" t="s">
        <v>652</v>
      </c>
      <c r="AQ315" s="10"/>
      <c r="AR315" s="10"/>
      <c r="AS315" s="10"/>
      <c r="AT315" s="10"/>
      <c r="AU315" s="262">
        <v>3600</v>
      </c>
      <c r="AV315" s="135" t="s">
        <v>211</v>
      </c>
      <c r="AW315" s="135" t="s">
        <v>211</v>
      </c>
      <c r="AX315" s="135" t="s">
        <v>211</v>
      </c>
      <c r="AY315" s="5">
        <v>810</v>
      </c>
      <c r="AZ315" s="135" t="s">
        <v>499</v>
      </c>
      <c r="BA315" s="135">
        <v>75</v>
      </c>
      <c r="BB315" s="5">
        <v>294</v>
      </c>
      <c r="BC315" s="5">
        <v>254</v>
      </c>
      <c r="BD315" s="135" t="s">
        <v>567</v>
      </c>
      <c r="BE315" s="135">
        <f>SUM(BA315+BB315+BC315+BD315)</f>
        <v>1548</v>
      </c>
      <c r="BF315" s="135" t="s">
        <v>601</v>
      </c>
      <c r="BG315" s="369" t="s">
        <v>685</v>
      </c>
      <c r="BH315" s="320"/>
      <c r="BI315" s="320"/>
      <c r="BJ315" s="10">
        <v>1205</v>
      </c>
      <c r="BK315" s="10">
        <v>3563</v>
      </c>
      <c r="BL315" s="41">
        <f>SUM(BK315/AU315)</f>
        <v>0.98972222222222217</v>
      </c>
      <c r="BM315" s="12"/>
      <c r="BN315" s="12"/>
      <c r="BO315" s="61">
        <v>181</v>
      </c>
    </row>
    <row r="316" spans="2:67" ht="62.25" customHeight="1" outlineLevel="1" x14ac:dyDescent="0.2">
      <c r="B316" s="48"/>
      <c r="C316" s="381"/>
      <c r="D316" s="381"/>
      <c r="E316" s="381"/>
      <c r="F316" s="64" t="s">
        <v>318</v>
      </c>
      <c r="G316" s="50"/>
      <c r="H316" s="8" t="s">
        <v>23</v>
      </c>
      <c r="I316" s="154">
        <v>748</v>
      </c>
      <c r="J316" s="154"/>
      <c r="K316" s="154"/>
      <c r="L316" s="179"/>
      <c r="M316" s="10" t="s">
        <v>450</v>
      </c>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t="s">
        <v>653</v>
      </c>
      <c r="AQ316" s="10"/>
      <c r="AR316" s="10"/>
      <c r="AS316" s="10"/>
      <c r="AT316" s="10"/>
      <c r="AU316" s="262">
        <v>860</v>
      </c>
      <c r="AV316" s="135" t="s">
        <v>211</v>
      </c>
      <c r="AW316" s="135" t="s">
        <v>211</v>
      </c>
      <c r="AX316" s="135" t="s">
        <v>211</v>
      </c>
      <c r="AY316" s="5" t="s">
        <v>211</v>
      </c>
      <c r="AZ316" s="135" t="s">
        <v>211</v>
      </c>
      <c r="BA316" s="135" t="s">
        <v>211</v>
      </c>
      <c r="BB316" s="135" t="s">
        <v>211</v>
      </c>
      <c r="BC316" s="5">
        <v>368</v>
      </c>
      <c r="BD316" s="135" t="s">
        <v>568</v>
      </c>
      <c r="BE316" s="135">
        <f>SUM(BA316+BB316+BC316+BD316)</f>
        <v>575</v>
      </c>
      <c r="BF316" s="135" t="s">
        <v>602</v>
      </c>
      <c r="BG316" s="122" t="s">
        <v>211</v>
      </c>
      <c r="BH316" s="320" t="s">
        <v>211</v>
      </c>
      <c r="BI316" s="320" t="s">
        <v>211</v>
      </c>
      <c r="BJ316" s="135" t="s">
        <v>602</v>
      </c>
      <c r="BK316" s="10">
        <f>SUM(AZ316+BE316+BJ316)</f>
        <v>860</v>
      </c>
      <c r="BL316" s="298">
        <f>SUM(BK316/AU316)</f>
        <v>1</v>
      </c>
      <c r="BM316" s="12"/>
      <c r="BN316" s="12"/>
      <c r="BO316" s="61">
        <v>0</v>
      </c>
    </row>
    <row r="317" spans="2:67" ht="47.25" customHeight="1" x14ac:dyDescent="0.2">
      <c r="B317" s="206"/>
      <c r="C317" s="556" t="s">
        <v>149</v>
      </c>
      <c r="D317" s="556"/>
      <c r="E317" s="556"/>
      <c r="F317" s="394" t="s">
        <v>205</v>
      </c>
      <c r="G317" s="395"/>
      <c r="H317" s="395"/>
      <c r="I317" s="395"/>
      <c r="J317" s="395"/>
      <c r="K317" s="395"/>
      <c r="L317" s="395"/>
      <c r="M317" s="395"/>
      <c r="N317" s="395"/>
      <c r="O317" s="395"/>
      <c r="P317" s="395"/>
      <c r="Q317" s="395"/>
      <c r="R317" s="395"/>
      <c r="S317" s="395"/>
      <c r="T317" s="395"/>
      <c r="U317" s="395"/>
      <c r="V317" s="395"/>
      <c r="W317" s="395"/>
      <c r="X317" s="395"/>
      <c r="Y317" s="395"/>
      <c r="Z317" s="395"/>
      <c r="AA317" s="395"/>
      <c r="AB317" s="395"/>
      <c r="AC317" s="395"/>
      <c r="AD317" s="395"/>
      <c r="AE317" s="395"/>
      <c r="AF317" s="395"/>
      <c r="AG317" s="395"/>
      <c r="AH317" s="395"/>
      <c r="AI317" s="395"/>
      <c r="AJ317" s="395"/>
      <c r="AK317" s="395"/>
      <c r="AL317" s="395"/>
      <c r="AM317" s="395"/>
      <c r="AN317" s="395"/>
      <c r="AO317" s="395"/>
      <c r="AP317" s="395"/>
      <c r="AQ317" s="395"/>
      <c r="AR317" s="395"/>
      <c r="AS317" s="395"/>
      <c r="AT317" s="395"/>
      <c r="AU317" s="395"/>
      <c r="AV317" s="395"/>
      <c r="AW317" s="395"/>
      <c r="AX317" s="395"/>
      <c r="AY317" s="395"/>
      <c r="AZ317" s="395"/>
      <c r="BA317" s="395"/>
      <c r="BB317" s="395"/>
      <c r="BC317" s="395"/>
      <c r="BD317" s="395"/>
      <c r="BE317" s="395"/>
      <c r="BF317" s="395"/>
      <c r="BG317" s="395"/>
      <c r="BH317" s="395"/>
      <c r="BI317" s="395"/>
      <c r="BJ317" s="395"/>
      <c r="BK317" s="395"/>
      <c r="BL317" s="395"/>
      <c r="BM317" s="395"/>
      <c r="BN317" s="396"/>
    </row>
    <row r="318" spans="2:67" ht="94.5" customHeight="1" x14ac:dyDescent="0.2">
      <c r="B318" s="30">
        <v>3</v>
      </c>
      <c r="C318" s="378" t="s">
        <v>319</v>
      </c>
      <c r="D318" s="379"/>
      <c r="E318" s="380"/>
      <c r="F318" s="156"/>
      <c r="G318" s="200"/>
      <c r="H318" s="5" t="s">
        <v>24</v>
      </c>
      <c r="I318" s="154">
        <v>2000</v>
      </c>
      <c r="J318" s="154"/>
      <c r="K318" s="154"/>
      <c r="L318" s="179"/>
      <c r="M318" s="10" t="s">
        <v>452</v>
      </c>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t="s">
        <v>728</v>
      </c>
      <c r="AU318" s="262">
        <v>2591</v>
      </c>
      <c r="AV318" s="135" t="s">
        <v>211</v>
      </c>
      <c r="AW318" s="96">
        <v>263</v>
      </c>
      <c r="AX318" s="248">
        <f>+AX319</f>
        <v>80</v>
      </c>
      <c r="AY318" s="154" t="str">
        <f>+AY319</f>
        <v>153</v>
      </c>
      <c r="AZ318" s="135" t="s">
        <v>501</v>
      </c>
      <c r="BA318" s="5">
        <f>+BA319</f>
        <v>597</v>
      </c>
      <c r="BB318" s="5">
        <v>163</v>
      </c>
      <c r="BC318" s="5">
        <f>+BC319</f>
        <v>687</v>
      </c>
      <c r="BD318" s="5">
        <v>431</v>
      </c>
      <c r="BE318" s="242">
        <f>SUM(BA318+BB318+BC318+BD318)</f>
        <v>1878</v>
      </c>
      <c r="BF318" s="135" t="s">
        <v>604</v>
      </c>
      <c r="BG318" s="122" t="s">
        <v>211</v>
      </c>
      <c r="BH318" s="135"/>
      <c r="BI318" s="135"/>
      <c r="BJ318" s="135" t="s">
        <v>604</v>
      </c>
      <c r="BK318" s="279">
        <f>SUM(AZ318+BE318+BJ318)</f>
        <v>2572</v>
      </c>
      <c r="BL318" s="241">
        <f>SUM(BK318/AU318)</f>
        <v>0.99266692396758005</v>
      </c>
      <c r="BM318" s="3">
        <v>1966233</v>
      </c>
      <c r="BN318" s="255" t="s">
        <v>671</v>
      </c>
      <c r="BO318" s="61">
        <v>1156</v>
      </c>
    </row>
    <row r="319" spans="2:67" ht="86.25" customHeight="1" x14ac:dyDescent="0.2">
      <c r="B319" s="30"/>
      <c r="C319" s="163"/>
      <c r="D319" s="164"/>
      <c r="E319" s="165"/>
      <c r="F319" s="152" t="s">
        <v>319</v>
      </c>
      <c r="G319" s="283"/>
      <c r="H319" s="8" t="s">
        <v>23</v>
      </c>
      <c r="I319" s="154">
        <v>2000</v>
      </c>
      <c r="J319" s="154"/>
      <c r="K319" s="154"/>
      <c r="L319" s="179"/>
      <c r="M319" s="10" t="s">
        <v>452</v>
      </c>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t="s">
        <v>728</v>
      </c>
      <c r="AU319" s="262">
        <v>2591</v>
      </c>
      <c r="AV319" s="135" t="s">
        <v>211</v>
      </c>
      <c r="AW319" s="96">
        <v>263</v>
      </c>
      <c r="AX319" s="96">
        <v>80</v>
      </c>
      <c r="AY319" s="135" t="s">
        <v>500</v>
      </c>
      <c r="AZ319" s="135" t="s">
        <v>501</v>
      </c>
      <c r="BA319" s="5">
        <v>597</v>
      </c>
      <c r="BB319" s="5">
        <v>163</v>
      </c>
      <c r="BC319" s="5">
        <v>687</v>
      </c>
      <c r="BD319" s="5">
        <v>431</v>
      </c>
      <c r="BE319" s="242">
        <f>SUM(BA319+BB319+BC319+BD319)</f>
        <v>1878</v>
      </c>
      <c r="BF319" s="135" t="s">
        <v>604</v>
      </c>
      <c r="BG319" s="122" t="s">
        <v>211</v>
      </c>
      <c r="BH319" s="135"/>
      <c r="BI319" s="135"/>
      <c r="BJ319" s="135" t="s">
        <v>604</v>
      </c>
      <c r="BK319" s="279">
        <f>SUM(AZ319+BE319+BJ319)</f>
        <v>2572</v>
      </c>
      <c r="BL319" s="241">
        <f>SUM(BK319/AU319)</f>
        <v>0.99266692396758005</v>
      </c>
      <c r="BM319" s="275"/>
      <c r="BN319" s="233"/>
      <c r="BO319" s="61"/>
    </row>
    <row r="320" spans="2:67" ht="42.75" customHeight="1" x14ac:dyDescent="0.2">
      <c r="B320" s="48"/>
      <c r="C320" s="381"/>
      <c r="D320" s="381"/>
      <c r="E320" s="381"/>
      <c r="F320" s="64" t="s">
        <v>320</v>
      </c>
      <c r="G320" s="50"/>
      <c r="H320" s="19" t="s">
        <v>51</v>
      </c>
      <c r="I320" s="287">
        <v>3</v>
      </c>
      <c r="J320" s="287"/>
      <c r="K320" s="287"/>
      <c r="L320" s="287"/>
      <c r="M320" s="10" t="s">
        <v>450</v>
      </c>
      <c r="N320" s="10"/>
      <c r="O320" s="10"/>
      <c r="P320" s="10"/>
      <c r="Q320" s="10"/>
      <c r="R320" s="10"/>
      <c r="S320" s="10"/>
      <c r="T320" s="10"/>
      <c r="U320" s="10"/>
      <c r="V320" s="10"/>
      <c r="W320" s="10"/>
      <c r="X320" s="10"/>
      <c r="Y320" s="10"/>
      <c r="Z320" s="10"/>
      <c r="AA320" s="10"/>
      <c r="AB320" s="10"/>
      <c r="AC320" s="10"/>
      <c r="AD320" s="10" t="s">
        <v>412</v>
      </c>
      <c r="AE320" s="10"/>
      <c r="AF320" s="10"/>
      <c r="AG320" s="10"/>
      <c r="AH320" s="10"/>
      <c r="AI320" s="10"/>
      <c r="AJ320" s="10"/>
      <c r="AK320" s="10"/>
      <c r="AL320" s="10"/>
      <c r="AM320" s="10"/>
      <c r="AN320" s="10"/>
      <c r="AO320" s="10"/>
      <c r="AP320" s="10"/>
      <c r="AQ320" s="10"/>
      <c r="AR320" s="10"/>
      <c r="AS320" s="10"/>
      <c r="AT320" s="10" t="s">
        <v>359</v>
      </c>
      <c r="AU320" s="262">
        <v>34</v>
      </c>
      <c r="AV320" s="122" t="s">
        <v>211</v>
      </c>
      <c r="AW320" s="122" t="s">
        <v>211</v>
      </c>
      <c r="AX320" s="122" t="s">
        <v>211</v>
      </c>
      <c r="AY320" s="122" t="s">
        <v>211</v>
      </c>
      <c r="AZ320" s="122" t="s">
        <v>211</v>
      </c>
      <c r="BA320" s="122" t="s">
        <v>211</v>
      </c>
      <c r="BB320" s="5">
        <v>1</v>
      </c>
      <c r="BC320" s="122" t="s">
        <v>211</v>
      </c>
      <c r="BD320" s="122" t="s">
        <v>211</v>
      </c>
      <c r="BE320" s="122">
        <f>SUM(BA320+BB320+BC320+BD320)</f>
        <v>1</v>
      </c>
      <c r="BF320" s="122" t="s">
        <v>211</v>
      </c>
      <c r="BG320" s="122" t="s">
        <v>360</v>
      </c>
      <c r="BH320" s="122"/>
      <c r="BI320" s="122"/>
      <c r="BJ320" s="122" t="s">
        <v>360</v>
      </c>
      <c r="BK320" s="122">
        <f>SUM(AZ320+BE320+BJ320)</f>
        <v>3</v>
      </c>
      <c r="BL320" s="246">
        <f>SUM(BK320/AU320)</f>
        <v>8.8235294117647065E-2</v>
      </c>
      <c r="BM320" s="12"/>
      <c r="BN320" s="12"/>
      <c r="BO320" s="61">
        <v>1156</v>
      </c>
    </row>
    <row r="321" spans="2:68" ht="15.75" hidden="1" customHeight="1" x14ac:dyDescent="0.2">
      <c r="B321" s="48"/>
      <c r="C321" s="410"/>
      <c r="D321" s="411"/>
      <c r="E321" s="412"/>
      <c r="F321" s="64"/>
      <c r="G321" s="64" t="s">
        <v>146</v>
      </c>
      <c r="H321" s="48"/>
      <c r="I321" s="154"/>
      <c r="J321" s="154"/>
      <c r="K321" s="154"/>
      <c r="L321" s="179"/>
      <c r="M321" s="248"/>
      <c r="N321" s="248"/>
      <c r="O321" s="249"/>
      <c r="P321" s="248"/>
      <c r="Q321" s="249"/>
      <c r="R321" s="249"/>
      <c r="S321" s="249"/>
      <c r="T321" s="278"/>
      <c r="U321" s="280"/>
      <c r="V321" s="285"/>
      <c r="W321" s="306"/>
      <c r="X321" s="288"/>
      <c r="Y321" s="290"/>
      <c r="Z321" s="290"/>
      <c r="AA321" s="290"/>
      <c r="AB321" s="301"/>
      <c r="AC321" s="302"/>
      <c r="AD321" s="306"/>
      <c r="AE321" s="306"/>
      <c r="AF321" s="314"/>
      <c r="AG321" s="314"/>
      <c r="AH321" s="322"/>
      <c r="AI321" s="341"/>
      <c r="AJ321" s="343"/>
      <c r="AK321" s="345"/>
      <c r="AL321" s="353"/>
      <c r="AM321" s="363"/>
      <c r="AN321" s="364"/>
      <c r="AO321" s="364"/>
      <c r="AP321" s="364"/>
      <c r="AQ321" s="364"/>
      <c r="AR321" s="364"/>
      <c r="AS321" s="367"/>
      <c r="AT321" s="367"/>
      <c r="AU321" s="154"/>
      <c r="AV321" s="133" t="s">
        <v>211</v>
      </c>
      <c r="AW321" s="8"/>
      <c r="AX321" s="8"/>
      <c r="AY321" s="8"/>
      <c r="AZ321" s="133" t="s">
        <v>211</v>
      </c>
      <c r="BA321" s="133" t="s">
        <v>211</v>
      </c>
      <c r="BB321" s="133" t="s">
        <v>211</v>
      </c>
      <c r="BC321" s="133" t="s">
        <v>211</v>
      </c>
      <c r="BD321" s="133" t="s">
        <v>211</v>
      </c>
      <c r="BE321" s="133" t="s">
        <v>211</v>
      </c>
      <c r="BF321" s="133" t="s">
        <v>211</v>
      </c>
      <c r="BG321" s="133" t="s">
        <v>211</v>
      </c>
      <c r="BH321" s="133" t="s">
        <v>211</v>
      </c>
      <c r="BI321" s="133" t="s">
        <v>211</v>
      </c>
      <c r="BJ321" s="133" t="s">
        <v>211</v>
      </c>
      <c r="BK321" s="133" t="s">
        <v>211</v>
      </c>
      <c r="BL321" s="133" t="s">
        <v>211</v>
      </c>
      <c r="BM321" s="9"/>
      <c r="BN321" s="50"/>
      <c r="BO321" s="79"/>
    </row>
    <row r="322" spans="2:68" ht="27" hidden="1" customHeight="1" x14ac:dyDescent="0.2">
      <c r="B322" s="48"/>
      <c r="C322" s="410"/>
      <c r="D322" s="411"/>
      <c r="E322" s="412"/>
      <c r="F322" s="64"/>
      <c r="G322" s="64" t="s">
        <v>180</v>
      </c>
      <c r="H322" s="48"/>
      <c r="I322" s="154"/>
      <c r="J322" s="154"/>
      <c r="K322" s="154"/>
      <c r="L322" s="179"/>
      <c r="M322" s="248"/>
      <c r="N322" s="248"/>
      <c r="O322" s="249"/>
      <c r="P322" s="248"/>
      <c r="Q322" s="249"/>
      <c r="R322" s="249"/>
      <c r="S322" s="249"/>
      <c r="T322" s="278"/>
      <c r="U322" s="280"/>
      <c r="V322" s="285"/>
      <c r="W322" s="306"/>
      <c r="X322" s="288"/>
      <c r="Y322" s="290"/>
      <c r="Z322" s="290"/>
      <c r="AA322" s="290"/>
      <c r="AB322" s="301"/>
      <c r="AC322" s="302"/>
      <c r="AD322" s="306"/>
      <c r="AE322" s="306"/>
      <c r="AF322" s="314"/>
      <c r="AG322" s="314"/>
      <c r="AH322" s="322"/>
      <c r="AI322" s="341"/>
      <c r="AJ322" s="343"/>
      <c r="AK322" s="345"/>
      <c r="AL322" s="353"/>
      <c r="AM322" s="363"/>
      <c r="AN322" s="364"/>
      <c r="AO322" s="364"/>
      <c r="AP322" s="364"/>
      <c r="AQ322" s="364"/>
      <c r="AR322" s="364"/>
      <c r="AS322" s="367"/>
      <c r="AT322" s="367"/>
      <c r="AU322" s="154"/>
      <c r="AV322" s="133" t="s">
        <v>211</v>
      </c>
      <c r="AW322" s="114"/>
      <c r="AX322" s="8"/>
      <c r="AY322" s="8"/>
      <c r="AZ322" s="133" t="s">
        <v>211</v>
      </c>
      <c r="BA322" s="133" t="s">
        <v>211</v>
      </c>
      <c r="BB322" s="133" t="s">
        <v>211</v>
      </c>
      <c r="BC322" s="133" t="s">
        <v>211</v>
      </c>
      <c r="BD322" s="133" t="s">
        <v>211</v>
      </c>
      <c r="BE322" s="133" t="s">
        <v>211</v>
      </c>
      <c r="BF322" s="133" t="s">
        <v>211</v>
      </c>
      <c r="BG322" s="133" t="s">
        <v>211</v>
      </c>
      <c r="BH322" s="133" t="s">
        <v>211</v>
      </c>
      <c r="BI322" s="133" t="s">
        <v>211</v>
      </c>
      <c r="BJ322" s="133" t="s">
        <v>211</v>
      </c>
      <c r="BK322" s="133" t="s">
        <v>211</v>
      </c>
      <c r="BL322" s="133" t="s">
        <v>211</v>
      </c>
      <c r="BM322" s="9"/>
      <c r="BN322" s="50"/>
      <c r="BO322" s="79"/>
    </row>
    <row r="323" spans="2:68" ht="20.25" customHeight="1" x14ac:dyDescent="0.2">
      <c r="B323" s="385" t="s">
        <v>77</v>
      </c>
      <c r="C323" s="385"/>
      <c r="D323" s="385"/>
      <c r="E323" s="385"/>
      <c r="F323" s="385"/>
      <c r="G323" s="385"/>
      <c r="H323" s="385"/>
      <c r="I323" s="385"/>
      <c r="J323" s="385"/>
      <c r="K323" s="385"/>
      <c r="L323" s="385"/>
      <c r="M323" s="385"/>
      <c r="N323" s="385"/>
      <c r="O323" s="385"/>
      <c r="P323" s="385"/>
      <c r="Q323" s="385"/>
      <c r="R323" s="385"/>
      <c r="S323" s="385"/>
      <c r="T323" s="385"/>
      <c r="U323" s="385"/>
      <c r="V323" s="385"/>
      <c r="W323" s="385"/>
      <c r="X323" s="385"/>
      <c r="Y323" s="385"/>
      <c r="Z323" s="385"/>
      <c r="AA323" s="385"/>
      <c r="AB323" s="385"/>
      <c r="AC323" s="385"/>
      <c r="AD323" s="385"/>
      <c r="AE323" s="385"/>
      <c r="AF323" s="385"/>
      <c r="AG323" s="385"/>
      <c r="AH323" s="385"/>
      <c r="AI323" s="385"/>
      <c r="AJ323" s="385"/>
      <c r="AK323" s="385"/>
      <c r="AL323" s="385"/>
      <c r="AM323" s="385"/>
      <c r="AN323" s="385"/>
      <c r="AO323" s="385"/>
      <c r="AP323" s="385"/>
      <c r="AQ323" s="385"/>
      <c r="AR323" s="385"/>
      <c r="AS323" s="385"/>
      <c r="AT323" s="385"/>
      <c r="AU323" s="385"/>
      <c r="AV323" s="385"/>
      <c r="AW323" s="385"/>
      <c r="AX323" s="385"/>
      <c r="AY323" s="385"/>
      <c r="AZ323" s="385"/>
      <c r="BA323" s="385"/>
      <c r="BB323" s="385"/>
      <c r="BC323" s="385"/>
      <c r="BD323" s="385"/>
      <c r="BE323" s="385"/>
      <c r="BF323" s="385"/>
      <c r="BG323" s="385"/>
      <c r="BH323" s="385"/>
      <c r="BI323" s="385"/>
      <c r="BJ323" s="385"/>
      <c r="BK323" s="385"/>
      <c r="BL323" s="385"/>
      <c r="BM323" s="385"/>
      <c r="BN323" s="99"/>
    </row>
    <row r="324" spans="2:68" s="181" customFormat="1" ht="15.75" customHeight="1" x14ac:dyDescent="0.2">
      <c r="B324" s="419" t="s">
        <v>100</v>
      </c>
      <c r="C324" s="419"/>
      <c r="D324" s="419"/>
      <c r="E324" s="419"/>
      <c r="F324" s="398" t="s">
        <v>134</v>
      </c>
      <c r="G324" s="398"/>
      <c r="H324" s="398"/>
      <c r="I324" s="398"/>
      <c r="J324" s="398"/>
      <c r="K324" s="398"/>
      <c r="L324" s="398"/>
      <c r="M324" s="398"/>
      <c r="N324" s="398"/>
      <c r="O324" s="398"/>
      <c r="P324" s="398"/>
      <c r="Q324" s="398"/>
      <c r="R324" s="398"/>
      <c r="S324" s="398"/>
      <c r="T324" s="398"/>
      <c r="U324" s="398"/>
      <c r="V324" s="398"/>
      <c r="W324" s="398"/>
      <c r="X324" s="398"/>
      <c r="Y324" s="398"/>
      <c r="Z324" s="398"/>
      <c r="AA324" s="398"/>
      <c r="AB324" s="398"/>
      <c r="AC324" s="398"/>
      <c r="AD324" s="398"/>
      <c r="AE324" s="398"/>
      <c r="AF324" s="398"/>
      <c r="AG324" s="398"/>
      <c r="AH324" s="398"/>
      <c r="AI324" s="398"/>
      <c r="AJ324" s="398"/>
      <c r="AK324" s="398"/>
      <c r="AL324" s="398"/>
      <c r="AM324" s="398"/>
      <c r="AN324" s="398"/>
      <c r="AO324" s="398"/>
      <c r="AP324" s="398"/>
      <c r="AQ324" s="398"/>
      <c r="AR324" s="398"/>
      <c r="AS324" s="398"/>
      <c r="AT324" s="398"/>
      <c r="AU324" s="398"/>
      <c r="AV324" s="398"/>
      <c r="AW324" s="398"/>
      <c r="AX324" s="398"/>
      <c r="AY324" s="398"/>
      <c r="AZ324" s="398"/>
      <c r="BA324" s="398"/>
      <c r="BB324" s="398"/>
      <c r="BC324" s="398"/>
      <c r="BD324" s="398"/>
      <c r="BE324" s="398"/>
      <c r="BF324" s="398"/>
      <c r="BG324" s="398"/>
      <c r="BH324" s="398"/>
      <c r="BI324" s="398"/>
      <c r="BJ324" s="398"/>
      <c r="BK324" s="398"/>
      <c r="BL324" s="398"/>
      <c r="BM324" s="398"/>
      <c r="BN324" s="398"/>
    </row>
    <row r="325" spans="2:68" s="181" customFormat="1" ht="24" customHeight="1" x14ac:dyDescent="0.2">
      <c r="B325" s="393" t="s">
        <v>90</v>
      </c>
      <c r="C325" s="393"/>
      <c r="D325" s="393"/>
      <c r="E325" s="393"/>
      <c r="F325" s="398" t="s">
        <v>221</v>
      </c>
      <c r="G325" s="398"/>
      <c r="H325" s="398"/>
      <c r="I325" s="398"/>
      <c r="J325" s="398"/>
      <c r="K325" s="398"/>
      <c r="L325" s="398"/>
      <c r="M325" s="398"/>
      <c r="N325" s="398"/>
      <c r="O325" s="398"/>
      <c r="P325" s="398"/>
      <c r="Q325" s="398"/>
      <c r="R325" s="398"/>
      <c r="S325" s="398"/>
      <c r="T325" s="398"/>
      <c r="U325" s="398"/>
      <c r="V325" s="398"/>
      <c r="W325" s="398"/>
      <c r="X325" s="398"/>
      <c r="Y325" s="398"/>
      <c r="Z325" s="398"/>
      <c r="AA325" s="398"/>
      <c r="AB325" s="398"/>
      <c r="AC325" s="398"/>
      <c r="AD325" s="398"/>
      <c r="AE325" s="398"/>
      <c r="AF325" s="398"/>
      <c r="AG325" s="398"/>
      <c r="AH325" s="398"/>
      <c r="AI325" s="398"/>
      <c r="AJ325" s="398"/>
      <c r="AK325" s="398"/>
      <c r="AL325" s="398"/>
      <c r="AM325" s="398"/>
      <c r="AN325" s="398"/>
      <c r="AO325" s="398"/>
      <c r="AP325" s="398"/>
      <c r="AQ325" s="398"/>
      <c r="AR325" s="398"/>
      <c r="AS325" s="398"/>
      <c r="AT325" s="398"/>
      <c r="AU325" s="398"/>
      <c r="AV325" s="398"/>
      <c r="AW325" s="398"/>
      <c r="AX325" s="398"/>
      <c r="AY325" s="398"/>
      <c r="AZ325" s="398"/>
      <c r="BA325" s="398"/>
      <c r="BB325" s="398"/>
      <c r="BC325" s="398"/>
      <c r="BD325" s="398"/>
      <c r="BE325" s="398"/>
      <c r="BF325" s="398"/>
      <c r="BG325" s="398"/>
      <c r="BH325" s="398"/>
      <c r="BI325" s="398"/>
      <c r="BJ325" s="398"/>
      <c r="BK325" s="398"/>
      <c r="BL325" s="398"/>
      <c r="BM325" s="398"/>
      <c r="BN325" s="398"/>
    </row>
    <row r="326" spans="2:68" s="181" customFormat="1" ht="18" customHeight="1" x14ac:dyDescent="0.2">
      <c r="B326" s="389" t="s">
        <v>145</v>
      </c>
      <c r="C326" s="390"/>
      <c r="D326" s="390"/>
      <c r="E326" s="391"/>
      <c r="F326" s="416" t="s">
        <v>226</v>
      </c>
      <c r="G326" s="417"/>
      <c r="H326" s="417"/>
      <c r="I326" s="417"/>
      <c r="J326" s="417"/>
      <c r="K326" s="417"/>
      <c r="L326" s="417"/>
      <c r="M326" s="417"/>
      <c r="N326" s="417"/>
      <c r="O326" s="417"/>
      <c r="P326" s="417"/>
      <c r="Q326" s="417"/>
      <c r="R326" s="417"/>
      <c r="S326" s="417"/>
      <c r="T326" s="417"/>
      <c r="U326" s="417"/>
      <c r="V326" s="417"/>
      <c r="W326" s="417"/>
      <c r="X326" s="417"/>
      <c r="Y326" s="417"/>
      <c r="Z326" s="417"/>
      <c r="AA326" s="417"/>
      <c r="AB326" s="417"/>
      <c r="AC326" s="417"/>
      <c r="AD326" s="417"/>
      <c r="AE326" s="417"/>
      <c r="AF326" s="417"/>
      <c r="AG326" s="417"/>
      <c r="AH326" s="417"/>
      <c r="AI326" s="417"/>
      <c r="AJ326" s="417"/>
      <c r="AK326" s="417"/>
      <c r="AL326" s="417"/>
      <c r="AM326" s="417"/>
      <c r="AN326" s="417"/>
      <c r="AO326" s="417"/>
      <c r="AP326" s="417"/>
      <c r="AQ326" s="417"/>
      <c r="AR326" s="417"/>
      <c r="AS326" s="417"/>
      <c r="AT326" s="417"/>
      <c r="AU326" s="417"/>
      <c r="AV326" s="417"/>
      <c r="AW326" s="417"/>
      <c r="AX326" s="417"/>
      <c r="AY326" s="417"/>
      <c r="AZ326" s="417"/>
      <c r="BA326" s="417"/>
      <c r="BB326" s="417"/>
      <c r="BC326" s="417"/>
      <c r="BD326" s="417"/>
      <c r="BE326" s="417"/>
      <c r="BF326" s="417"/>
      <c r="BG326" s="417"/>
      <c r="BH326" s="417"/>
      <c r="BI326" s="417"/>
      <c r="BJ326" s="417"/>
      <c r="BK326" s="417"/>
      <c r="BL326" s="417"/>
      <c r="BM326" s="417"/>
      <c r="BN326" s="418"/>
    </row>
    <row r="327" spans="2:68" s="181" customFormat="1" ht="33" customHeight="1" x14ac:dyDescent="0.2">
      <c r="B327" s="397" t="s">
        <v>102</v>
      </c>
      <c r="C327" s="397"/>
      <c r="D327" s="397"/>
      <c r="E327" s="397"/>
      <c r="F327" s="562" t="s">
        <v>135</v>
      </c>
      <c r="G327" s="562"/>
      <c r="H327" s="562"/>
      <c r="I327" s="562"/>
      <c r="J327" s="562"/>
      <c r="K327" s="562"/>
      <c r="L327" s="562"/>
      <c r="M327" s="562"/>
      <c r="N327" s="562"/>
      <c r="O327" s="562"/>
      <c r="P327" s="562"/>
      <c r="Q327" s="562"/>
      <c r="R327" s="562"/>
      <c r="S327" s="562"/>
      <c r="T327" s="562"/>
      <c r="U327" s="562"/>
      <c r="V327" s="562"/>
      <c r="W327" s="562"/>
      <c r="X327" s="562"/>
      <c r="Y327" s="562"/>
      <c r="Z327" s="562"/>
      <c r="AA327" s="562"/>
      <c r="AB327" s="562"/>
      <c r="AC327" s="562"/>
      <c r="AD327" s="562"/>
      <c r="AE327" s="562"/>
      <c r="AF327" s="562"/>
      <c r="AG327" s="562"/>
      <c r="AH327" s="562"/>
      <c r="AI327" s="562"/>
      <c r="AJ327" s="562"/>
      <c r="AK327" s="562"/>
      <c r="AL327" s="562"/>
      <c r="AM327" s="562"/>
      <c r="AN327" s="562"/>
      <c r="AO327" s="562"/>
      <c r="AP327" s="562"/>
      <c r="AQ327" s="562"/>
      <c r="AR327" s="562"/>
      <c r="AS327" s="562"/>
      <c r="AT327" s="562"/>
      <c r="AU327" s="562"/>
      <c r="AV327" s="562"/>
      <c r="AW327" s="562"/>
      <c r="AX327" s="562"/>
      <c r="AY327" s="562"/>
      <c r="AZ327" s="562"/>
      <c r="BA327" s="562"/>
      <c r="BB327" s="562"/>
      <c r="BC327" s="562"/>
      <c r="BD327" s="562"/>
      <c r="BE327" s="562"/>
      <c r="BF327" s="562"/>
      <c r="BG327" s="562"/>
      <c r="BH327" s="562"/>
      <c r="BI327" s="562"/>
      <c r="BJ327" s="562"/>
      <c r="BK327" s="562"/>
      <c r="BL327" s="562"/>
      <c r="BM327" s="562"/>
      <c r="BN327" s="562"/>
    </row>
    <row r="328" spans="2:68" s="181" customFormat="1" ht="17.25" customHeight="1" x14ac:dyDescent="0.2">
      <c r="B328" s="397" t="s">
        <v>103</v>
      </c>
      <c r="C328" s="397"/>
      <c r="D328" s="397"/>
      <c r="E328" s="397"/>
      <c r="F328" s="537" t="s">
        <v>136</v>
      </c>
      <c r="G328" s="537"/>
      <c r="H328" s="537"/>
      <c r="I328" s="537"/>
      <c r="J328" s="537"/>
      <c r="K328" s="537"/>
      <c r="L328" s="537"/>
      <c r="M328" s="537"/>
      <c r="N328" s="537"/>
      <c r="O328" s="537"/>
      <c r="P328" s="537"/>
      <c r="Q328" s="537"/>
      <c r="R328" s="537"/>
      <c r="S328" s="537"/>
      <c r="T328" s="537"/>
      <c r="U328" s="537"/>
      <c r="V328" s="537"/>
      <c r="W328" s="537"/>
      <c r="X328" s="537"/>
      <c r="Y328" s="537"/>
      <c r="Z328" s="537"/>
      <c r="AA328" s="537"/>
      <c r="AB328" s="537"/>
      <c r="AC328" s="537"/>
      <c r="AD328" s="537"/>
      <c r="AE328" s="537"/>
      <c r="AF328" s="537"/>
      <c r="AG328" s="537"/>
      <c r="AH328" s="537"/>
      <c r="AI328" s="537"/>
      <c r="AJ328" s="537"/>
      <c r="AK328" s="537"/>
      <c r="AL328" s="537"/>
      <c r="AM328" s="537"/>
      <c r="AN328" s="537"/>
      <c r="AO328" s="537"/>
      <c r="AP328" s="537"/>
      <c r="AQ328" s="537"/>
      <c r="AR328" s="537"/>
      <c r="AS328" s="537"/>
      <c r="AT328" s="537"/>
      <c r="AU328" s="537"/>
      <c r="AV328" s="537"/>
      <c r="AW328" s="537"/>
      <c r="AX328" s="537"/>
      <c r="AY328" s="537"/>
      <c r="AZ328" s="537"/>
      <c r="BA328" s="537"/>
      <c r="BB328" s="537"/>
      <c r="BC328" s="537"/>
      <c r="BD328" s="537"/>
      <c r="BE328" s="537"/>
      <c r="BF328" s="537"/>
      <c r="BG328" s="537"/>
      <c r="BH328" s="537"/>
      <c r="BI328" s="537"/>
      <c r="BJ328" s="537"/>
      <c r="BK328" s="537"/>
      <c r="BL328" s="537"/>
      <c r="BM328" s="537"/>
      <c r="BN328" s="537"/>
    </row>
    <row r="329" spans="2:68" ht="18" customHeight="1" x14ac:dyDescent="0.2">
      <c r="B329" s="413"/>
      <c r="C329" s="414"/>
      <c r="D329" s="414"/>
      <c r="E329" s="414"/>
      <c r="F329" s="414"/>
      <c r="G329" s="414"/>
      <c r="H329" s="413" t="s">
        <v>235</v>
      </c>
      <c r="I329" s="414"/>
      <c r="J329" s="414"/>
      <c r="K329" s="414"/>
      <c r="L329" s="414"/>
      <c r="M329" s="414"/>
      <c r="N329" s="414"/>
      <c r="O329" s="414"/>
      <c r="P329" s="414"/>
      <c r="Q329" s="414"/>
      <c r="R329" s="414"/>
      <c r="S329" s="414"/>
      <c r="T329" s="414"/>
      <c r="U329" s="414"/>
      <c r="V329" s="414"/>
      <c r="W329" s="414"/>
      <c r="X329" s="414"/>
      <c r="Y329" s="414"/>
      <c r="Z329" s="414"/>
      <c r="AA329" s="414"/>
      <c r="AB329" s="414"/>
      <c r="AC329" s="414"/>
      <c r="AD329" s="414"/>
      <c r="AE329" s="414"/>
      <c r="AF329" s="414"/>
      <c r="AG329" s="414"/>
      <c r="AH329" s="414"/>
      <c r="AI329" s="414"/>
      <c r="AJ329" s="414"/>
      <c r="AK329" s="414"/>
      <c r="AL329" s="414"/>
      <c r="AM329" s="414"/>
      <c r="AN329" s="414"/>
      <c r="AO329" s="414"/>
      <c r="AP329" s="414"/>
      <c r="AQ329" s="414"/>
      <c r="AR329" s="414"/>
      <c r="AS329" s="414"/>
      <c r="AT329" s="414"/>
      <c r="AU329" s="414"/>
      <c r="AV329" s="414"/>
      <c r="AW329" s="414"/>
      <c r="AX329" s="414"/>
      <c r="AY329" s="414"/>
      <c r="AZ329" s="414"/>
      <c r="BA329" s="414"/>
      <c r="BB329" s="414"/>
      <c r="BC329" s="414"/>
      <c r="BD329" s="414"/>
      <c r="BE329" s="414"/>
      <c r="BF329" s="414"/>
      <c r="BG329" s="414"/>
      <c r="BH329" s="414"/>
      <c r="BI329" s="414"/>
      <c r="BJ329" s="414"/>
      <c r="BK329" s="414"/>
      <c r="BL329" s="414"/>
      <c r="BM329" s="414"/>
      <c r="BN329" s="414"/>
    </row>
    <row r="330" spans="2:68" ht="53.25" customHeight="1" x14ac:dyDescent="0.2">
      <c r="B330" s="184" t="s">
        <v>139</v>
      </c>
      <c r="C330" s="382" t="s">
        <v>94</v>
      </c>
      <c r="D330" s="383"/>
      <c r="E330" s="384"/>
      <c r="F330" s="185" t="s">
        <v>95</v>
      </c>
      <c r="G330" s="186" t="s">
        <v>4</v>
      </c>
      <c r="H330" s="187" t="s">
        <v>3</v>
      </c>
      <c r="I330" s="188" t="s">
        <v>96</v>
      </c>
      <c r="J330" s="207" t="s">
        <v>494</v>
      </c>
      <c r="K330" s="207" t="s">
        <v>495</v>
      </c>
      <c r="L330" s="207" t="s">
        <v>380</v>
      </c>
      <c r="M330" s="208" t="s">
        <v>381</v>
      </c>
      <c r="N330" s="207" t="s">
        <v>517</v>
      </c>
      <c r="O330" s="207" t="s">
        <v>518</v>
      </c>
      <c r="P330" s="207" t="s">
        <v>490</v>
      </c>
      <c r="Q330" s="208" t="s">
        <v>491</v>
      </c>
      <c r="R330" s="208" t="s">
        <v>492</v>
      </c>
      <c r="S330" s="208" t="s">
        <v>493</v>
      </c>
      <c r="T330" s="208" t="s">
        <v>519</v>
      </c>
      <c r="U330" s="208" t="s">
        <v>523</v>
      </c>
      <c r="V330" s="208" t="s">
        <v>525</v>
      </c>
      <c r="W330" s="208" t="s">
        <v>571</v>
      </c>
      <c r="X330" s="208" t="s">
        <v>538</v>
      </c>
      <c r="Y330" s="208" t="s">
        <v>553</v>
      </c>
      <c r="Z330" s="208" t="s">
        <v>554</v>
      </c>
      <c r="AA330" s="307" t="s">
        <v>581</v>
      </c>
      <c r="AB330" s="208" t="s">
        <v>570</v>
      </c>
      <c r="AC330" s="307" t="s">
        <v>564</v>
      </c>
      <c r="AD330" s="307" t="s">
        <v>582</v>
      </c>
      <c r="AE330" s="309" t="s">
        <v>578</v>
      </c>
      <c r="AF330" s="307" t="s">
        <v>635</v>
      </c>
      <c r="AG330" s="307" t="s">
        <v>590</v>
      </c>
      <c r="AH330" s="307" t="s">
        <v>606</v>
      </c>
      <c r="AI330" s="307" t="s">
        <v>636</v>
      </c>
      <c r="AJ330" s="307" t="s">
        <v>623</v>
      </c>
      <c r="AK330" s="307" t="s">
        <v>628</v>
      </c>
      <c r="AL330" s="307" t="s">
        <v>637</v>
      </c>
      <c r="AM330" s="307" t="s">
        <v>641</v>
      </c>
      <c r="AN330" s="307" t="s">
        <v>643</v>
      </c>
      <c r="AO330" s="307" t="s">
        <v>646</v>
      </c>
      <c r="AP330" s="307"/>
      <c r="AQ330" s="307" t="s">
        <v>689</v>
      </c>
      <c r="AR330" s="307" t="s">
        <v>697</v>
      </c>
      <c r="AS330" s="307" t="s">
        <v>725</v>
      </c>
      <c r="AT330" s="307" t="s">
        <v>729</v>
      </c>
      <c r="AU330" s="188" t="s">
        <v>150</v>
      </c>
      <c r="AV330" s="83" t="s">
        <v>5</v>
      </c>
      <c r="AW330" s="83" t="s">
        <v>6</v>
      </c>
      <c r="AX330" s="83" t="s">
        <v>7</v>
      </c>
      <c r="AY330" s="83" t="s">
        <v>8</v>
      </c>
      <c r="AZ330" s="84" t="s">
        <v>157</v>
      </c>
      <c r="BA330" s="85" t="s">
        <v>9</v>
      </c>
      <c r="BB330" s="85" t="s">
        <v>10</v>
      </c>
      <c r="BC330" s="85" t="s">
        <v>11</v>
      </c>
      <c r="BD330" s="85" t="s">
        <v>12</v>
      </c>
      <c r="BE330" s="84" t="s">
        <v>158</v>
      </c>
      <c r="BF330" s="85" t="s">
        <v>13</v>
      </c>
      <c r="BG330" s="85" t="s">
        <v>14</v>
      </c>
      <c r="BH330" s="85" t="s">
        <v>15</v>
      </c>
      <c r="BI330" s="85" t="s">
        <v>16</v>
      </c>
      <c r="BJ330" s="84" t="s">
        <v>159</v>
      </c>
      <c r="BK330" s="189" t="s">
        <v>97</v>
      </c>
      <c r="BL330" s="189" t="s">
        <v>98</v>
      </c>
      <c r="BM330" s="190" t="s">
        <v>321</v>
      </c>
      <c r="BN330" s="189" t="s">
        <v>99</v>
      </c>
    </row>
    <row r="331" spans="2:68" ht="27.75" customHeight="1" x14ac:dyDescent="0.2">
      <c r="B331" s="514" t="s">
        <v>17</v>
      </c>
      <c r="C331" s="515"/>
      <c r="D331" s="515"/>
      <c r="E331" s="515"/>
      <c r="F331" s="515"/>
      <c r="G331" s="515"/>
      <c r="H331" s="516"/>
      <c r="I331" s="54">
        <f>+I332+I337+I353</f>
        <v>138600</v>
      </c>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c r="AK331" s="54"/>
      <c r="AL331" s="54"/>
      <c r="AM331" s="54"/>
      <c r="AN331" s="54"/>
      <c r="AO331" s="54"/>
      <c r="AP331" s="54"/>
      <c r="AQ331" s="54"/>
      <c r="AR331" s="54"/>
      <c r="AS331" s="54"/>
      <c r="AT331" s="54"/>
      <c r="AU331" s="54">
        <v>175533</v>
      </c>
      <c r="AV331" s="54">
        <f t="shared" ref="AV331:BD331" si="68">+AV332+AV337+AV353</f>
        <v>7787</v>
      </c>
      <c r="AW331" s="54">
        <f t="shared" si="68"/>
        <v>15976</v>
      </c>
      <c r="AX331" s="54">
        <f t="shared" si="68"/>
        <v>15042</v>
      </c>
      <c r="AY331" s="54">
        <f t="shared" si="68"/>
        <v>10278</v>
      </c>
      <c r="AZ331" s="54">
        <f t="shared" si="68"/>
        <v>49083</v>
      </c>
      <c r="BA331" s="54">
        <f t="shared" si="68"/>
        <v>14970</v>
      </c>
      <c r="BB331" s="54">
        <f t="shared" si="68"/>
        <v>14848</v>
      </c>
      <c r="BC331" s="54">
        <f t="shared" si="68"/>
        <v>14051</v>
      </c>
      <c r="BD331" s="54">
        <f t="shared" si="68"/>
        <v>15620</v>
      </c>
      <c r="BE331" s="54">
        <f>+BE332+BE337+BE353</f>
        <v>59489</v>
      </c>
      <c r="BF331" s="54">
        <f>+BF332+BF337+BF353</f>
        <v>8088</v>
      </c>
      <c r="BG331" s="54">
        <f>+BG332+BG337+BG353</f>
        <v>28932</v>
      </c>
      <c r="BH331" s="54">
        <f>+BH332+BH353+BH336</f>
        <v>0</v>
      </c>
      <c r="BI331" s="54">
        <f>+BI332+BI353+BI336</f>
        <v>0</v>
      </c>
      <c r="BJ331" s="54">
        <f>+BJ332+BJ337+BJ353</f>
        <v>37020</v>
      </c>
      <c r="BK331" s="54">
        <f>+BK332+BK337+BK353</f>
        <v>145592</v>
      </c>
      <c r="BL331" s="104">
        <f t="shared" ref="BL331:BL350" si="69">SUM(BK331/AU331)</f>
        <v>0.82942808474759733</v>
      </c>
      <c r="BM331" s="103">
        <f>+BM332+BM353</f>
        <v>43503947</v>
      </c>
      <c r="BN331" s="123" t="s">
        <v>605</v>
      </c>
    </row>
    <row r="332" spans="2:68" ht="79.5" customHeight="1" x14ac:dyDescent="0.2">
      <c r="B332" s="30">
        <v>1</v>
      </c>
      <c r="C332" s="378" t="s">
        <v>206</v>
      </c>
      <c r="D332" s="379"/>
      <c r="E332" s="380"/>
      <c r="F332" s="155"/>
      <c r="G332" s="205"/>
      <c r="H332" s="155" t="s">
        <v>23</v>
      </c>
      <c r="I332" s="154">
        <v>57432</v>
      </c>
      <c r="J332" s="154"/>
      <c r="K332" s="154"/>
      <c r="L332" s="179"/>
      <c r="M332" s="42" t="s">
        <v>454</v>
      </c>
      <c r="N332" s="42"/>
      <c r="O332" s="42"/>
      <c r="P332" s="42"/>
      <c r="Q332" s="42"/>
      <c r="R332" s="42"/>
      <c r="S332" s="42"/>
      <c r="T332" s="42" t="s">
        <v>520</v>
      </c>
      <c r="U332" s="42"/>
      <c r="V332" s="42"/>
      <c r="W332" s="42"/>
      <c r="X332" s="42"/>
      <c r="Y332" s="42"/>
      <c r="Z332" s="65" t="s">
        <v>543</v>
      </c>
      <c r="AA332" s="65"/>
      <c r="AB332" s="65"/>
      <c r="AC332" s="65"/>
      <c r="AD332" s="65"/>
      <c r="AE332" s="65"/>
      <c r="AF332" s="65"/>
      <c r="AG332" s="65"/>
      <c r="AH332" s="65" t="s">
        <v>598</v>
      </c>
      <c r="AI332" s="65"/>
      <c r="AJ332" s="65"/>
      <c r="AK332" s="65" t="s">
        <v>632</v>
      </c>
      <c r="AL332" s="65"/>
      <c r="AM332" s="65"/>
      <c r="AN332" s="65"/>
      <c r="AO332" s="65"/>
      <c r="AP332" s="65"/>
      <c r="AQ332" s="65"/>
      <c r="AR332" s="65"/>
      <c r="AS332" s="65"/>
      <c r="AT332" s="65"/>
      <c r="AU332" s="262">
        <v>86421</v>
      </c>
      <c r="AV332" s="154">
        <f>+AV333+AV341+AV344</f>
        <v>4323</v>
      </c>
      <c r="AW332" s="179">
        <f>+AW333+AW341+AW344</f>
        <v>8083</v>
      </c>
      <c r="AX332" s="248">
        <f>+AX333+AX341+AX344</f>
        <v>8520</v>
      </c>
      <c r="AY332" s="272">
        <f>+AY333+AY341+AY344</f>
        <v>4606</v>
      </c>
      <c r="AZ332" s="154">
        <f>SUM(AV332:AY332)</f>
        <v>25532</v>
      </c>
      <c r="BA332" s="154">
        <v>8694</v>
      </c>
      <c r="BB332" s="286">
        <f>+BB333+BB341+BB344</f>
        <v>6582</v>
      </c>
      <c r="BC332" s="293">
        <f>+BC333+BC341+BC344</f>
        <v>7530</v>
      </c>
      <c r="BD332" s="154">
        <f>+BD333+BD341+BD344</f>
        <v>8448</v>
      </c>
      <c r="BE332" s="154">
        <f t="shared" ref="BE332:BE350" si="70">SUM(BA332+BB332+BC332+BD332)</f>
        <v>31254</v>
      </c>
      <c r="BF332" s="324">
        <f>+BF333+BF341+BF344</f>
        <v>894</v>
      </c>
      <c r="BG332" s="154">
        <f>+BG333+BG341+BG344</f>
        <v>21525</v>
      </c>
      <c r="BH332" s="154"/>
      <c r="BI332" s="154"/>
      <c r="BJ332" s="154">
        <f>SUM(BF332:BI332)</f>
        <v>22419</v>
      </c>
      <c r="BK332" s="154">
        <f>SUM(AZ332+BE332+BJ332)</f>
        <v>79205</v>
      </c>
      <c r="BL332" s="41">
        <f t="shared" si="69"/>
        <v>0.9165017761886578</v>
      </c>
      <c r="BM332" s="3">
        <v>26664507</v>
      </c>
      <c r="BN332" s="258" t="s">
        <v>580</v>
      </c>
      <c r="BO332" s="61">
        <f>2090+1870+1590+1050</f>
        <v>6600</v>
      </c>
    </row>
    <row r="333" spans="2:68" ht="46.5" customHeight="1" x14ac:dyDescent="0.2">
      <c r="B333" s="48"/>
      <c r="C333" s="381"/>
      <c r="D333" s="381"/>
      <c r="E333" s="381"/>
      <c r="F333" s="64" t="s">
        <v>328</v>
      </c>
      <c r="G333" s="50"/>
      <c r="H333" s="19" t="s">
        <v>23</v>
      </c>
      <c r="I333" s="154">
        <v>45807</v>
      </c>
      <c r="J333" s="154"/>
      <c r="K333" s="154"/>
      <c r="L333" s="179"/>
      <c r="M333" s="42" t="s">
        <v>453</v>
      </c>
      <c r="N333" s="42"/>
      <c r="O333" s="42"/>
      <c r="P333" s="42"/>
      <c r="Q333" s="42"/>
      <c r="R333" s="42"/>
      <c r="S333" s="42"/>
      <c r="T333" s="42"/>
      <c r="U333" s="42"/>
      <c r="V333" s="42"/>
      <c r="W333" s="42"/>
      <c r="X333" s="42"/>
      <c r="Y333" s="42"/>
      <c r="Z333" s="65" t="s">
        <v>543</v>
      </c>
      <c r="AA333" s="65"/>
      <c r="AB333" s="65"/>
      <c r="AC333" s="65"/>
      <c r="AD333" s="65"/>
      <c r="AE333" s="65"/>
      <c r="AF333" s="65"/>
      <c r="AG333" s="65"/>
      <c r="AH333" s="65" t="s">
        <v>594</v>
      </c>
      <c r="AI333" s="65"/>
      <c r="AJ333" s="65"/>
      <c r="AK333" s="65" t="s">
        <v>632</v>
      </c>
      <c r="AL333" s="65"/>
      <c r="AM333" s="65"/>
      <c r="AN333" s="65"/>
      <c r="AO333" s="65"/>
      <c r="AP333" s="65"/>
      <c r="AQ333" s="65"/>
      <c r="AR333" s="65"/>
      <c r="AS333" s="65"/>
      <c r="AT333" s="65"/>
      <c r="AU333" s="262">
        <v>73271</v>
      </c>
      <c r="AV333" s="154">
        <v>4006</v>
      </c>
      <c r="AW333" s="179">
        <v>7149</v>
      </c>
      <c r="AX333" s="248">
        <v>7609</v>
      </c>
      <c r="AY333" s="272">
        <v>4088</v>
      </c>
      <c r="AZ333" s="154">
        <f>SUM(AV333:AY333)</f>
        <v>22852</v>
      </c>
      <c r="BA333" s="154">
        <v>7592</v>
      </c>
      <c r="BB333" s="286">
        <v>5983</v>
      </c>
      <c r="BC333" s="293">
        <v>6110</v>
      </c>
      <c r="BD333" s="154">
        <v>6622</v>
      </c>
      <c r="BE333" s="154">
        <f t="shared" si="70"/>
        <v>26307</v>
      </c>
      <c r="BF333" s="122" t="s">
        <v>211</v>
      </c>
      <c r="BG333" s="154">
        <v>17653</v>
      </c>
      <c r="BH333" s="154"/>
      <c r="BI333" s="154"/>
      <c r="BJ333" s="122" t="s">
        <v>674</v>
      </c>
      <c r="BK333" s="154">
        <f>SUM(AZ333+BE333+BJ333)</f>
        <v>66812</v>
      </c>
      <c r="BL333" s="41">
        <f t="shared" si="69"/>
        <v>0.91184779790094306</v>
      </c>
      <c r="BM333" s="603" t="s">
        <v>726</v>
      </c>
      <c r="BN333" s="603"/>
      <c r="BO333" s="61">
        <f>1700+1500+1200+800</f>
        <v>5200</v>
      </c>
      <c r="BP333" s="223"/>
    </row>
    <row r="334" spans="2:68" ht="21.75" customHeight="1" outlineLevel="1" x14ac:dyDescent="0.2">
      <c r="B334" s="48"/>
      <c r="C334" s="381"/>
      <c r="D334" s="381"/>
      <c r="E334" s="381"/>
      <c r="F334" s="64"/>
      <c r="G334" s="64" t="s">
        <v>78</v>
      </c>
      <c r="H334" s="19" t="s">
        <v>24</v>
      </c>
      <c r="I334" s="65">
        <v>23787</v>
      </c>
      <c r="J334" s="65"/>
      <c r="K334" s="65"/>
      <c r="L334" s="65"/>
      <c r="M334" s="65"/>
      <c r="N334" s="65"/>
      <c r="O334" s="65"/>
      <c r="P334" s="65"/>
      <c r="Q334" s="65"/>
      <c r="R334" s="65"/>
      <c r="S334" s="65"/>
      <c r="T334" s="65"/>
      <c r="U334" s="65"/>
      <c r="V334" s="65"/>
      <c r="W334" s="65"/>
      <c r="X334" s="65"/>
      <c r="Y334" s="65"/>
      <c r="Z334" s="65"/>
      <c r="AA334" s="65"/>
      <c r="AB334" s="65"/>
      <c r="AC334" s="65"/>
      <c r="AD334" s="65"/>
      <c r="AE334" s="65"/>
      <c r="AF334" s="65"/>
      <c r="AG334" s="65"/>
      <c r="AH334" s="65"/>
      <c r="AI334" s="65"/>
      <c r="AJ334" s="65"/>
      <c r="AK334" s="65" t="s">
        <v>629</v>
      </c>
      <c r="AL334" s="65"/>
      <c r="AM334" s="65"/>
      <c r="AN334" s="65"/>
      <c r="AO334" s="65"/>
      <c r="AP334" s="65"/>
      <c r="AQ334" s="65"/>
      <c r="AR334" s="65"/>
      <c r="AS334" s="65"/>
      <c r="AT334" s="65"/>
      <c r="AU334" s="270">
        <v>24984</v>
      </c>
      <c r="AV334" s="66">
        <v>579</v>
      </c>
      <c r="AW334" s="66">
        <v>2045</v>
      </c>
      <c r="AX334" s="66">
        <v>3343</v>
      </c>
      <c r="AY334" s="66">
        <v>1263</v>
      </c>
      <c r="AZ334" s="42">
        <f>SUM(AV334:AY334)</f>
        <v>7230</v>
      </c>
      <c r="BA334" s="42">
        <v>3044</v>
      </c>
      <c r="BB334" s="42">
        <v>2198</v>
      </c>
      <c r="BC334" s="42">
        <v>2309</v>
      </c>
      <c r="BD334" s="42">
        <v>3083</v>
      </c>
      <c r="BE334" s="65">
        <f t="shared" si="70"/>
        <v>10634</v>
      </c>
      <c r="BF334" s="136" t="s">
        <v>211</v>
      </c>
      <c r="BG334" s="42">
        <v>5286</v>
      </c>
      <c r="BH334" s="66"/>
      <c r="BI334" s="8"/>
      <c r="BJ334" s="136" t="s">
        <v>702</v>
      </c>
      <c r="BK334" s="42">
        <f>SUM(AZ334+BE334+BJ334)</f>
        <v>23150</v>
      </c>
      <c r="BL334" s="68">
        <f t="shared" si="69"/>
        <v>0.92659301953250084</v>
      </c>
      <c r="BM334" s="603"/>
      <c r="BN334" s="603"/>
    </row>
    <row r="335" spans="2:68" ht="27.75" customHeight="1" outlineLevel="1" x14ac:dyDescent="0.2">
      <c r="B335" s="48"/>
      <c r="C335" s="381"/>
      <c r="D335" s="381"/>
      <c r="E335" s="381"/>
      <c r="F335" s="87"/>
      <c r="G335" s="64" t="s">
        <v>322</v>
      </c>
      <c r="H335" s="19" t="s">
        <v>23</v>
      </c>
      <c r="I335" s="65">
        <v>7020</v>
      </c>
      <c r="J335" s="65"/>
      <c r="K335" s="65"/>
      <c r="L335" s="65"/>
      <c r="M335" s="65"/>
      <c r="N335" s="65"/>
      <c r="O335" s="65"/>
      <c r="P335" s="65"/>
      <c r="Q335" s="65"/>
      <c r="R335" s="65"/>
      <c r="S335" s="65"/>
      <c r="T335" s="65"/>
      <c r="U335" s="65"/>
      <c r="V335" s="65"/>
      <c r="W335" s="65"/>
      <c r="X335" s="65"/>
      <c r="Y335" s="65"/>
      <c r="Z335" s="65" t="s">
        <v>543</v>
      </c>
      <c r="AA335" s="65"/>
      <c r="AB335" s="65"/>
      <c r="AC335" s="65"/>
      <c r="AD335" s="65"/>
      <c r="AE335" s="65"/>
      <c r="AF335" s="65"/>
      <c r="AG335" s="65"/>
      <c r="AH335" s="65" t="s">
        <v>594</v>
      </c>
      <c r="AI335" s="65"/>
      <c r="AJ335" s="65"/>
      <c r="AK335" s="65" t="s">
        <v>630</v>
      </c>
      <c r="AL335" s="65"/>
      <c r="AM335" s="65"/>
      <c r="AN335" s="65"/>
      <c r="AO335" s="65"/>
      <c r="AP335" s="65"/>
      <c r="AQ335" s="65"/>
      <c r="AR335" s="65"/>
      <c r="AS335" s="65"/>
      <c r="AT335" s="65"/>
      <c r="AU335" s="270">
        <v>7634</v>
      </c>
      <c r="AV335" s="111" t="s">
        <v>211</v>
      </c>
      <c r="AW335" s="111" t="s">
        <v>211</v>
      </c>
      <c r="AX335" s="66">
        <v>681</v>
      </c>
      <c r="AY335" s="66">
        <v>347</v>
      </c>
      <c r="AZ335" s="111" t="s">
        <v>511</v>
      </c>
      <c r="BA335" s="111">
        <v>1516</v>
      </c>
      <c r="BB335" s="42">
        <v>215</v>
      </c>
      <c r="BC335" s="42">
        <v>424</v>
      </c>
      <c r="BD335" s="42">
        <v>2463</v>
      </c>
      <c r="BE335" s="111">
        <f t="shared" si="70"/>
        <v>4618</v>
      </c>
      <c r="BF335" s="136" t="s">
        <v>211</v>
      </c>
      <c r="BG335" s="111" t="s">
        <v>703</v>
      </c>
      <c r="BH335" s="111"/>
      <c r="BI335" s="111"/>
      <c r="BJ335" s="136" t="s">
        <v>703</v>
      </c>
      <c r="BK335" s="111" t="s">
        <v>704</v>
      </c>
      <c r="BL335" s="68">
        <f t="shared" si="69"/>
        <v>0.94982970919570342</v>
      </c>
      <c r="BM335" s="603"/>
      <c r="BN335" s="603"/>
    </row>
    <row r="336" spans="2:68" ht="72.75" customHeight="1" outlineLevel="1" x14ac:dyDescent="0.2">
      <c r="B336" s="48"/>
      <c r="C336" s="381"/>
      <c r="D336" s="381"/>
      <c r="E336" s="381"/>
      <c r="F336" s="87"/>
      <c r="G336" s="64" t="s">
        <v>79</v>
      </c>
      <c r="H336" s="19" t="s">
        <v>23</v>
      </c>
      <c r="I336" s="42">
        <v>15000</v>
      </c>
      <c r="J336" s="42"/>
      <c r="K336" s="42"/>
      <c r="L336" s="42"/>
      <c r="M336" s="42" t="s">
        <v>453</v>
      </c>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65" t="s">
        <v>631</v>
      </c>
      <c r="AL336" s="65"/>
      <c r="AM336" s="65"/>
      <c r="AN336" s="65"/>
      <c r="AO336" s="65"/>
      <c r="AP336" s="65"/>
      <c r="AQ336" s="65"/>
      <c r="AR336" s="65"/>
      <c r="AS336" s="65"/>
      <c r="AT336" s="65"/>
      <c r="AU336" s="266">
        <v>40653</v>
      </c>
      <c r="AV336" s="42">
        <v>3427</v>
      </c>
      <c r="AW336" s="66">
        <v>5104</v>
      </c>
      <c r="AX336" s="42">
        <v>3585</v>
      </c>
      <c r="AY336" s="42">
        <v>2478</v>
      </c>
      <c r="AZ336" s="42">
        <f t="shared" ref="AZ336:AZ343" si="71">SUM(AV336:AY336)</f>
        <v>14594</v>
      </c>
      <c r="BA336" s="42">
        <v>3032</v>
      </c>
      <c r="BB336" s="42">
        <v>3570</v>
      </c>
      <c r="BC336" s="42">
        <v>3377</v>
      </c>
      <c r="BD336" s="42">
        <v>1076</v>
      </c>
      <c r="BE336" s="42">
        <f t="shared" si="70"/>
        <v>11055</v>
      </c>
      <c r="BF336" s="136" t="s">
        <v>211</v>
      </c>
      <c r="BG336" s="42">
        <v>10762</v>
      </c>
      <c r="BH336" s="154"/>
      <c r="BI336" s="154"/>
      <c r="BJ336" s="136" t="s">
        <v>705</v>
      </c>
      <c r="BK336" s="42">
        <f t="shared" ref="BK336:BK341" si="72">SUM(AZ336+BE336+BJ336)</f>
        <v>36411</v>
      </c>
      <c r="BL336" s="68">
        <f t="shared" si="69"/>
        <v>0.8956534573094237</v>
      </c>
      <c r="BM336" s="603"/>
      <c r="BN336" s="603"/>
      <c r="BO336" s="61"/>
      <c r="BP336" s="223"/>
    </row>
    <row r="337" spans="2:69" ht="45" customHeight="1" x14ac:dyDescent="0.2">
      <c r="B337" s="48"/>
      <c r="C337" s="381"/>
      <c r="D337" s="381"/>
      <c r="E337" s="381"/>
      <c r="F337" s="64" t="s">
        <v>329</v>
      </c>
      <c r="G337" s="50"/>
      <c r="H337" s="19" t="s">
        <v>51</v>
      </c>
      <c r="I337" s="10">
        <v>12596</v>
      </c>
      <c r="J337" s="10"/>
      <c r="K337" s="10"/>
      <c r="L337" s="10"/>
      <c r="M337" s="42" t="s">
        <v>457</v>
      </c>
      <c r="N337" s="42"/>
      <c r="O337" s="42"/>
      <c r="P337" s="42"/>
      <c r="Q337" s="42"/>
      <c r="R337" s="42"/>
      <c r="S337" s="42"/>
      <c r="T337" s="42"/>
      <c r="U337" s="42"/>
      <c r="V337" s="42"/>
      <c r="W337" s="42"/>
      <c r="X337" s="42"/>
      <c r="Y337" s="42"/>
      <c r="Z337" s="42"/>
      <c r="AA337" s="42"/>
      <c r="AB337" s="42"/>
      <c r="AC337" s="42"/>
      <c r="AD337" s="42"/>
      <c r="AE337" s="42"/>
      <c r="AF337" s="42"/>
      <c r="AG337" s="42"/>
      <c r="AH337" s="65" t="s">
        <v>595</v>
      </c>
      <c r="AI337" s="65"/>
      <c r="AJ337" s="65"/>
      <c r="AK337" s="65"/>
      <c r="AL337" s="65"/>
      <c r="AM337" s="65"/>
      <c r="AN337" s="65"/>
      <c r="AO337" s="65"/>
      <c r="AP337" s="65"/>
      <c r="AQ337" s="65"/>
      <c r="AR337" s="65"/>
      <c r="AS337" s="65"/>
      <c r="AT337" s="65"/>
      <c r="AU337" s="262">
        <v>13502</v>
      </c>
      <c r="AV337" s="67">
        <v>1013</v>
      </c>
      <c r="AW337" s="67">
        <v>1173</v>
      </c>
      <c r="AX337" s="67">
        <v>1017</v>
      </c>
      <c r="AY337" s="67">
        <v>774</v>
      </c>
      <c r="AZ337" s="154">
        <f t="shared" si="71"/>
        <v>3977</v>
      </c>
      <c r="BA337" s="154">
        <v>991</v>
      </c>
      <c r="BB337" s="286">
        <v>1262</v>
      </c>
      <c r="BC337" s="293">
        <v>840</v>
      </c>
      <c r="BD337" s="154">
        <v>1038</v>
      </c>
      <c r="BE337" s="154">
        <f t="shared" si="70"/>
        <v>4131</v>
      </c>
      <c r="BF337" s="324">
        <v>1075</v>
      </c>
      <c r="BG337" s="154">
        <v>1125</v>
      </c>
      <c r="BH337" s="154"/>
      <c r="BI337" s="154"/>
      <c r="BJ337" s="154">
        <f t="shared" ref="BJ337:BJ350" si="73">SUM(BF337:BI337)</f>
        <v>2200</v>
      </c>
      <c r="BK337" s="154">
        <f t="shared" si="72"/>
        <v>10308</v>
      </c>
      <c r="BL337" s="41">
        <f t="shared" si="69"/>
        <v>0.76344245296993041</v>
      </c>
      <c r="BM337" s="27"/>
      <c r="BN337" s="27"/>
    </row>
    <row r="338" spans="2:69" ht="30.75" customHeight="1" outlineLevel="1" x14ac:dyDescent="0.2">
      <c r="B338" s="48"/>
      <c r="C338" s="381"/>
      <c r="D338" s="381"/>
      <c r="E338" s="381"/>
      <c r="F338" s="157"/>
      <c r="G338" s="64" t="s">
        <v>80</v>
      </c>
      <c r="H338" s="19" t="s">
        <v>51</v>
      </c>
      <c r="I338" s="65">
        <v>10000</v>
      </c>
      <c r="J338" s="65"/>
      <c r="K338" s="65"/>
      <c r="L338" s="65"/>
      <c r="M338" s="42" t="s">
        <v>455</v>
      </c>
      <c r="N338" s="42"/>
      <c r="O338" s="42"/>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42"/>
      <c r="AM338" s="42"/>
      <c r="AN338" s="42"/>
      <c r="AO338" s="42"/>
      <c r="AP338" s="42"/>
      <c r="AQ338" s="42"/>
      <c r="AR338" s="42"/>
      <c r="AS338" s="42"/>
      <c r="AT338" s="42"/>
      <c r="AU338" s="315">
        <v>10500</v>
      </c>
      <c r="AV338" s="66">
        <v>627</v>
      </c>
      <c r="AW338" s="66">
        <v>1084</v>
      </c>
      <c r="AX338" s="66">
        <v>973</v>
      </c>
      <c r="AY338" s="66">
        <v>727</v>
      </c>
      <c r="AZ338" s="42">
        <f t="shared" si="71"/>
        <v>3411</v>
      </c>
      <c r="BA338" s="42">
        <v>932</v>
      </c>
      <c r="BB338" s="42">
        <v>1230</v>
      </c>
      <c r="BC338" s="42">
        <v>805</v>
      </c>
      <c r="BD338" s="42">
        <v>1004</v>
      </c>
      <c r="BE338" s="42">
        <f t="shared" si="70"/>
        <v>3971</v>
      </c>
      <c r="BF338" s="42">
        <v>1035</v>
      </c>
      <c r="BG338" s="42">
        <v>1006</v>
      </c>
      <c r="BH338" s="42"/>
      <c r="BI338" s="42"/>
      <c r="BJ338" s="42">
        <f t="shared" si="73"/>
        <v>2041</v>
      </c>
      <c r="BK338" s="42">
        <f t="shared" si="72"/>
        <v>9423</v>
      </c>
      <c r="BL338" s="68">
        <f t="shared" si="69"/>
        <v>0.89742857142857146</v>
      </c>
      <c r="BM338" s="27"/>
      <c r="BN338" s="27"/>
    </row>
    <row r="339" spans="2:69" ht="31.5" customHeight="1" outlineLevel="1" x14ac:dyDescent="0.2">
      <c r="B339" s="48"/>
      <c r="C339" s="381"/>
      <c r="D339" s="381"/>
      <c r="E339" s="381"/>
      <c r="F339" s="157"/>
      <c r="G339" s="64" t="s">
        <v>81</v>
      </c>
      <c r="H339" s="19" t="s">
        <v>51</v>
      </c>
      <c r="I339" s="65">
        <v>400</v>
      </c>
      <c r="J339" s="65"/>
      <c r="K339" s="65"/>
      <c r="L339" s="65"/>
      <c r="M339" s="65"/>
      <c r="N339" s="65"/>
      <c r="O339" s="65"/>
      <c r="P339" s="65"/>
      <c r="Q339" s="65"/>
      <c r="R339" s="65"/>
      <c r="S339" s="65"/>
      <c r="T339" s="65"/>
      <c r="U339" s="65"/>
      <c r="V339" s="65"/>
      <c r="W339" s="65"/>
      <c r="X339" s="65"/>
      <c r="Y339" s="65"/>
      <c r="Z339" s="65"/>
      <c r="AA339" s="65"/>
      <c r="AB339" s="65"/>
      <c r="AC339" s="65"/>
      <c r="AD339" s="65"/>
      <c r="AE339" s="65"/>
      <c r="AF339" s="65"/>
      <c r="AG339" s="65"/>
      <c r="AH339" s="65"/>
      <c r="AI339" s="65"/>
      <c r="AJ339" s="65"/>
      <c r="AK339" s="65"/>
      <c r="AL339" s="65"/>
      <c r="AM339" s="65"/>
      <c r="AN339" s="65"/>
      <c r="AO339" s="65"/>
      <c r="AP339" s="65"/>
      <c r="AQ339" s="65"/>
      <c r="AR339" s="65"/>
      <c r="AS339" s="65"/>
      <c r="AT339" s="65"/>
      <c r="AU339" s="270">
        <v>400</v>
      </c>
      <c r="AV339" s="66">
        <v>18</v>
      </c>
      <c r="AW339" s="66">
        <v>81</v>
      </c>
      <c r="AX339" s="66">
        <v>44</v>
      </c>
      <c r="AY339" s="66">
        <v>44</v>
      </c>
      <c r="AZ339" s="42">
        <f t="shared" si="71"/>
        <v>187</v>
      </c>
      <c r="BA339" s="42">
        <v>41</v>
      </c>
      <c r="BB339" s="42">
        <v>29</v>
      </c>
      <c r="BC339" s="42">
        <v>30</v>
      </c>
      <c r="BD339" s="42">
        <v>34</v>
      </c>
      <c r="BE339" s="42">
        <f t="shared" si="70"/>
        <v>134</v>
      </c>
      <c r="BF339" s="42">
        <v>40</v>
      </c>
      <c r="BG339" s="42">
        <v>19</v>
      </c>
      <c r="BH339" s="42"/>
      <c r="BI339" s="42"/>
      <c r="BJ339" s="42">
        <f t="shared" si="73"/>
        <v>59</v>
      </c>
      <c r="BK339" s="42">
        <f t="shared" si="72"/>
        <v>380</v>
      </c>
      <c r="BL339" s="68">
        <f t="shared" si="69"/>
        <v>0.95</v>
      </c>
      <c r="BM339" s="27"/>
      <c r="BN339" s="27"/>
    </row>
    <row r="340" spans="2:69" ht="53.25" customHeight="1" outlineLevel="1" x14ac:dyDescent="0.2">
      <c r="B340" s="48"/>
      <c r="C340" s="381"/>
      <c r="D340" s="381"/>
      <c r="E340" s="381"/>
      <c r="F340" s="157"/>
      <c r="G340" s="64" t="s">
        <v>178</v>
      </c>
      <c r="H340" s="19" t="s">
        <v>51</v>
      </c>
      <c r="I340" s="65">
        <v>2196</v>
      </c>
      <c r="J340" s="65"/>
      <c r="K340" s="65"/>
      <c r="L340" s="65"/>
      <c r="M340" s="42" t="s">
        <v>456</v>
      </c>
      <c r="N340" s="42"/>
      <c r="O340" s="42"/>
      <c r="P340" s="42"/>
      <c r="Q340" s="42"/>
      <c r="R340" s="42"/>
      <c r="S340" s="42"/>
      <c r="T340" s="42"/>
      <c r="U340" s="42"/>
      <c r="V340" s="42"/>
      <c r="W340" s="42"/>
      <c r="X340" s="42"/>
      <c r="Y340" s="42"/>
      <c r="Z340" s="42"/>
      <c r="AA340" s="42"/>
      <c r="AB340" s="42"/>
      <c r="AC340" s="42"/>
      <c r="AD340" s="42"/>
      <c r="AE340" s="42"/>
      <c r="AF340" s="42"/>
      <c r="AG340" s="42"/>
      <c r="AH340" s="65" t="s">
        <v>595</v>
      </c>
      <c r="AI340" s="65"/>
      <c r="AJ340" s="65"/>
      <c r="AK340" s="65"/>
      <c r="AL340" s="65"/>
      <c r="AM340" s="65"/>
      <c r="AN340" s="65"/>
      <c r="AO340" s="65"/>
      <c r="AP340" s="65"/>
      <c r="AQ340" s="65"/>
      <c r="AR340" s="65"/>
      <c r="AS340" s="65"/>
      <c r="AT340" s="65"/>
      <c r="AU340" s="254">
        <v>2602</v>
      </c>
      <c r="AV340" s="66">
        <v>368</v>
      </c>
      <c r="AW340" s="66">
        <v>8</v>
      </c>
      <c r="AX340" s="111" t="s">
        <v>211</v>
      </c>
      <c r="AY340" s="66">
        <v>3</v>
      </c>
      <c r="AZ340" s="42">
        <f t="shared" si="71"/>
        <v>379</v>
      </c>
      <c r="BA340" s="42">
        <v>18</v>
      </c>
      <c r="BB340" s="42">
        <v>3</v>
      </c>
      <c r="BC340" s="42">
        <v>5</v>
      </c>
      <c r="BD340" s="111" t="s">
        <v>211</v>
      </c>
      <c r="BE340" s="42">
        <f t="shared" si="70"/>
        <v>26</v>
      </c>
      <c r="BF340" s="136" t="s">
        <v>211</v>
      </c>
      <c r="BG340" s="42">
        <v>100</v>
      </c>
      <c r="BH340" s="42"/>
      <c r="BI340" s="42"/>
      <c r="BJ340" s="136" t="s">
        <v>496</v>
      </c>
      <c r="BK340" s="42">
        <f t="shared" si="72"/>
        <v>505</v>
      </c>
      <c r="BL340" s="68">
        <f t="shared" si="69"/>
        <v>0.19408147578785551</v>
      </c>
      <c r="BM340" s="65"/>
      <c r="BN340" s="65"/>
      <c r="BO340" s="61">
        <f>390+370+390+250</f>
        <v>1400</v>
      </c>
      <c r="BQ340" s="223"/>
    </row>
    <row r="341" spans="2:69" ht="57" customHeight="1" x14ac:dyDescent="0.2">
      <c r="B341" s="48"/>
      <c r="C341" s="410"/>
      <c r="D341" s="411"/>
      <c r="E341" s="412"/>
      <c r="F341" s="64" t="s">
        <v>330</v>
      </c>
      <c r="G341" s="283"/>
      <c r="H341" s="19" t="s">
        <v>23</v>
      </c>
      <c r="I341" s="10">
        <v>8451</v>
      </c>
      <c r="J341" s="10"/>
      <c r="K341" s="10"/>
      <c r="L341" s="10"/>
      <c r="M341" s="42" t="s">
        <v>458</v>
      </c>
      <c r="N341" s="42"/>
      <c r="O341" s="42"/>
      <c r="P341" s="42"/>
      <c r="Q341" s="42"/>
      <c r="R341" s="42"/>
      <c r="S341" s="42"/>
      <c r="T341" s="42" t="s">
        <v>520</v>
      </c>
      <c r="U341" s="42"/>
      <c r="V341" s="42"/>
      <c r="W341" s="42"/>
      <c r="X341" s="42"/>
      <c r="Y341" s="42"/>
      <c r="Z341" s="42"/>
      <c r="AA341" s="42"/>
      <c r="AB341" s="42"/>
      <c r="AC341" s="42"/>
      <c r="AD341" s="42"/>
      <c r="AE341" s="42"/>
      <c r="AF341" s="42"/>
      <c r="AG341" s="42"/>
      <c r="AH341" s="65" t="s">
        <v>596</v>
      </c>
      <c r="AI341" s="65"/>
      <c r="AJ341" s="65"/>
      <c r="AK341" s="65"/>
      <c r="AL341" s="65"/>
      <c r="AM341" s="65"/>
      <c r="AN341" s="65"/>
      <c r="AO341" s="65"/>
      <c r="AP341" s="65"/>
      <c r="AQ341" s="65"/>
      <c r="AR341" s="65"/>
      <c r="AS341" s="65"/>
      <c r="AT341" s="65"/>
      <c r="AU341" s="269">
        <v>7145</v>
      </c>
      <c r="AV341" s="67">
        <v>317</v>
      </c>
      <c r="AW341" s="67">
        <v>523</v>
      </c>
      <c r="AX341" s="67">
        <v>438</v>
      </c>
      <c r="AY341" s="67">
        <v>390</v>
      </c>
      <c r="AZ341" s="154">
        <f t="shared" si="71"/>
        <v>1668</v>
      </c>
      <c r="BA341" s="154">
        <v>551</v>
      </c>
      <c r="BB341" s="286">
        <v>559</v>
      </c>
      <c r="BC341" s="293">
        <v>999</v>
      </c>
      <c r="BD341" s="154">
        <v>1288</v>
      </c>
      <c r="BE341" s="154">
        <f t="shared" si="70"/>
        <v>3397</v>
      </c>
      <c r="BF341" s="324">
        <v>782</v>
      </c>
      <c r="BG341" s="154">
        <v>541</v>
      </c>
      <c r="BH341" s="154"/>
      <c r="BI341" s="154"/>
      <c r="BJ341" s="154">
        <f t="shared" si="73"/>
        <v>1323</v>
      </c>
      <c r="BK341" s="154">
        <f t="shared" si="72"/>
        <v>6388</v>
      </c>
      <c r="BL341" s="41">
        <f t="shared" si="69"/>
        <v>0.8940517844646606</v>
      </c>
      <c r="BM341" s="65"/>
      <c r="BN341" s="65"/>
    </row>
    <row r="342" spans="2:69" ht="45.75" customHeight="1" x14ac:dyDescent="0.2">
      <c r="B342" s="48"/>
      <c r="C342" s="157"/>
      <c r="D342" s="158"/>
      <c r="E342" s="159"/>
      <c r="F342" s="64"/>
      <c r="G342" s="64" t="s">
        <v>323</v>
      </c>
      <c r="H342" s="19" t="s">
        <v>24</v>
      </c>
      <c r="I342" s="65">
        <v>3925</v>
      </c>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G342" s="65"/>
      <c r="AH342" s="65"/>
      <c r="AI342" s="65"/>
      <c r="AJ342" s="65"/>
      <c r="AK342" s="65"/>
      <c r="AL342" s="65"/>
      <c r="AM342" s="65"/>
      <c r="AN342" s="65"/>
      <c r="AO342" s="65"/>
      <c r="AP342" s="65"/>
      <c r="AQ342" s="65"/>
      <c r="AR342" s="65"/>
      <c r="AS342" s="65"/>
      <c r="AT342" s="65"/>
      <c r="AU342" s="270">
        <v>3925</v>
      </c>
      <c r="AV342" s="66">
        <v>229</v>
      </c>
      <c r="AW342" s="66">
        <v>388</v>
      </c>
      <c r="AX342" s="66">
        <v>363</v>
      </c>
      <c r="AY342" s="66">
        <v>257</v>
      </c>
      <c r="AZ342" s="42">
        <f t="shared" si="71"/>
        <v>1237</v>
      </c>
      <c r="BA342" s="42">
        <v>463</v>
      </c>
      <c r="BB342" s="42">
        <v>428</v>
      </c>
      <c r="BC342" s="42">
        <v>946</v>
      </c>
      <c r="BD342" s="42">
        <v>1219</v>
      </c>
      <c r="BE342" s="42">
        <f t="shared" si="70"/>
        <v>3056</v>
      </c>
      <c r="BF342" s="42">
        <v>754</v>
      </c>
      <c r="BG342" s="42">
        <v>481</v>
      </c>
      <c r="BH342" s="42"/>
      <c r="BI342" s="42"/>
      <c r="BJ342" s="42">
        <f t="shared" si="73"/>
        <v>1235</v>
      </c>
      <c r="BK342" s="42">
        <v>3925</v>
      </c>
      <c r="BL342" s="284">
        <f t="shared" si="69"/>
        <v>1</v>
      </c>
      <c r="BM342" s="65"/>
      <c r="BN342" s="65"/>
    </row>
    <row r="343" spans="2:69" ht="36.75" customHeight="1" x14ac:dyDescent="0.2">
      <c r="B343" s="48"/>
      <c r="C343" s="157"/>
      <c r="D343" s="158"/>
      <c r="E343" s="159"/>
      <c r="F343" s="64"/>
      <c r="G343" s="64" t="s">
        <v>324</v>
      </c>
      <c r="H343" s="19" t="s">
        <v>24</v>
      </c>
      <c r="I343" s="65">
        <v>4526</v>
      </c>
      <c r="J343" s="65"/>
      <c r="K343" s="65"/>
      <c r="L343" s="65"/>
      <c r="M343" s="42" t="s">
        <v>458</v>
      </c>
      <c r="N343" s="42"/>
      <c r="O343" s="42"/>
      <c r="P343" s="42"/>
      <c r="Q343" s="42"/>
      <c r="R343" s="42"/>
      <c r="S343" s="42"/>
      <c r="T343" s="42" t="s">
        <v>520</v>
      </c>
      <c r="U343" s="42"/>
      <c r="V343" s="42"/>
      <c r="W343" s="42"/>
      <c r="X343" s="42"/>
      <c r="Y343" s="42"/>
      <c r="Z343" s="42"/>
      <c r="AA343" s="42"/>
      <c r="AB343" s="42"/>
      <c r="AC343" s="42"/>
      <c r="AD343" s="42"/>
      <c r="AE343" s="42"/>
      <c r="AF343" s="42"/>
      <c r="AG343" s="42"/>
      <c r="AH343" s="65" t="s">
        <v>596</v>
      </c>
      <c r="AI343" s="65"/>
      <c r="AJ343" s="65"/>
      <c r="AK343" s="65"/>
      <c r="AL343" s="65"/>
      <c r="AM343" s="65"/>
      <c r="AN343" s="65"/>
      <c r="AO343" s="65"/>
      <c r="AP343" s="65"/>
      <c r="AQ343" s="65"/>
      <c r="AR343" s="65"/>
      <c r="AS343" s="65"/>
      <c r="AT343" s="65"/>
      <c r="AU343" s="270">
        <v>3220</v>
      </c>
      <c r="AV343" s="66">
        <v>88</v>
      </c>
      <c r="AW343" s="66">
        <v>135</v>
      </c>
      <c r="AX343" s="66">
        <v>75</v>
      </c>
      <c r="AY343" s="66">
        <v>133</v>
      </c>
      <c r="AZ343" s="42">
        <f t="shared" si="71"/>
        <v>431</v>
      </c>
      <c r="BA343" s="42">
        <v>88</v>
      </c>
      <c r="BB343" s="42">
        <v>131</v>
      </c>
      <c r="BC343" s="42">
        <v>53</v>
      </c>
      <c r="BD343" s="42">
        <v>69</v>
      </c>
      <c r="BE343" s="42">
        <f>SUM(BA343+BB343+BC343+BD343)</f>
        <v>341</v>
      </c>
      <c r="BF343" s="42">
        <v>28</v>
      </c>
      <c r="BG343" s="42">
        <v>60</v>
      </c>
      <c r="BH343" s="42"/>
      <c r="BI343" s="42"/>
      <c r="BJ343" s="42">
        <f t="shared" si="73"/>
        <v>88</v>
      </c>
      <c r="BK343" s="42">
        <v>860</v>
      </c>
      <c r="BL343" s="68">
        <f t="shared" si="69"/>
        <v>0.26708074534161491</v>
      </c>
      <c r="BM343" s="65"/>
      <c r="BN343" s="65"/>
    </row>
    <row r="344" spans="2:69" ht="147" customHeight="1" x14ac:dyDescent="0.2">
      <c r="B344" s="48"/>
      <c r="C344" s="157"/>
      <c r="D344" s="158"/>
      <c r="E344" s="159"/>
      <c r="F344" s="58" t="s">
        <v>331</v>
      </c>
      <c r="G344" s="50"/>
      <c r="H344" s="19" t="s">
        <v>23</v>
      </c>
      <c r="I344" s="10">
        <v>3174</v>
      </c>
      <c r="J344" s="10"/>
      <c r="K344" s="10"/>
      <c r="L344" s="10"/>
      <c r="M344" s="42" t="s">
        <v>459</v>
      </c>
      <c r="N344" s="42"/>
      <c r="O344" s="42"/>
      <c r="P344" s="42"/>
      <c r="Q344" s="42"/>
      <c r="R344" s="42"/>
      <c r="S344" s="42"/>
      <c r="T344" s="42"/>
      <c r="U344" s="42"/>
      <c r="V344" s="42"/>
      <c r="W344" s="42"/>
      <c r="X344" s="42"/>
      <c r="Y344" s="42"/>
      <c r="Z344" s="42"/>
      <c r="AA344" s="42"/>
      <c r="AB344" s="42"/>
      <c r="AC344" s="42"/>
      <c r="AD344" s="42"/>
      <c r="AE344" s="42"/>
      <c r="AF344" s="42"/>
      <c r="AG344" s="42"/>
      <c r="AH344" s="65" t="s">
        <v>597</v>
      </c>
      <c r="AI344" s="65"/>
      <c r="AJ344" s="65"/>
      <c r="AK344" s="65"/>
      <c r="AL344" s="65"/>
      <c r="AM344" s="65"/>
      <c r="AN344" s="65"/>
      <c r="AO344" s="65"/>
      <c r="AP344" s="65"/>
      <c r="AQ344" s="65"/>
      <c r="AR344" s="65"/>
      <c r="AS344" s="65"/>
      <c r="AT344" s="65"/>
      <c r="AU344" s="269">
        <v>6005</v>
      </c>
      <c r="AV344" s="112" t="s">
        <v>211</v>
      </c>
      <c r="AW344" s="67">
        <v>411</v>
      </c>
      <c r="AX344" s="67">
        <v>473</v>
      </c>
      <c r="AY344" s="67">
        <v>128</v>
      </c>
      <c r="AZ344" s="112" t="s">
        <v>503</v>
      </c>
      <c r="BA344" s="112">
        <v>551</v>
      </c>
      <c r="BB344" s="286">
        <v>40</v>
      </c>
      <c r="BC344" s="293">
        <v>421</v>
      </c>
      <c r="BD344" s="112" t="s">
        <v>569</v>
      </c>
      <c r="BE344" s="112">
        <f t="shared" si="70"/>
        <v>1550</v>
      </c>
      <c r="BF344" s="324">
        <v>112</v>
      </c>
      <c r="BG344" s="112" t="s">
        <v>706</v>
      </c>
      <c r="BH344" s="112"/>
      <c r="BI344" s="112"/>
      <c r="BJ344" s="112" t="s">
        <v>675</v>
      </c>
      <c r="BK344" s="112">
        <f>SUM(AZ344+BE344+BJ344)</f>
        <v>6005</v>
      </c>
      <c r="BL344" s="298">
        <f t="shared" si="69"/>
        <v>1</v>
      </c>
      <c r="BM344" s="551" t="s">
        <v>727</v>
      </c>
      <c r="BN344" s="552"/>
    </row>
    <row r="345" spans="2:69" ht="81" customHeight="1" x14ac:dyDescent="0.2">
      <c r="B345" s="48"/>
      <c r="C345" s="547"/>
      <c r="D345" s="548"/>
      <c r="E345" s="549"/>
      <c r="F345" s="153"/>
      <c r="G345" s="28" t="s">
        <v>82</v>
      </c>
      <c r="H345" s="19" t="s">
        <v>29</v>
      </c>
      <c r="I345" s="65">
        <v>14800</v>
      </c>
      <c r="J345" s="65"/>
      <c r="K345" s="65"/>
      <c r="L345" s="65"/>
      <c r="M345" s="42" t="s">
        <v>458</v>
      </c>
      <c r="N345" s="42"/>
      <c r="O345" s="42"/>
      <c r="P345" s="42"/>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270">
        <v>13767</v>
      </c>
      <c r="AV345" s="66">
        <v>1516</v>
      </c>
      <c r="AW345" s="66">
        <v>1465</v>
      </c>
      <c r="AX345" s="66">
        <v>1121</v>
      </c>
      <c r="AY345" s="66">
        <v>931</v>
      </c>
      <c r="AZ345" s="42">
        <f>SUM(AV345:AY345)</f>
        <v>5033</v>
      </c>
      <c r="BA345" s="42">
        <v>1307</v>
      </c>
      <c r="BB345" s="42">
        <v>1374</v>
      </c>
      <c r="BC345" s="42">
        <v>1000</v>
      </c>
      <c r="BD345" s="42">
        <v>1493</v>
      </c>
      <c r="BE345" s="42">
        <f t="shared" si="70"/>
        <v>5174</v>
      </c>
      <c r="BF345" s="42">
        <v>1622</v>
      </c>
      <c r="BG345" s="42">
        <v>1299</v>
      </c>
      <c r="BH345" s="42"/>
      <c r="BI345" s="42"/>
      <c r="BJ345" s="42">
        <f t="shared" si="73"/>
        <v>2921</v>
      </c>
      <c r="BK345" s="42">
        <f>SUM(AZ345+BE345+BJ345)</f>
        <v>13128</v>
      </c>
      <c r="BL345" s="68">
        <f t="shared" si="69"/>
        <v>0.95358465896709521</v>
      </c>
      <c r="BM345" s="65"/>
      <c r="BN345" s="65"/>
    </row>
    <row r="346" spans="2:69" ht="55.5" customHeight="1" x14ac:dyDescent="0.2">
      <c r="B346" s="48"/>
      <c r="C346" s="547"/>
      <c r="D346" s="548"/>
      <c r="E346" s="549"/>
      <c r="F346" s="153"/>
      <c r="G346" s="16" t="s">
        <v>325</v>
      </c>
      <c r="H346" s="19" t="s">
        <v>27</v>
      </c>
      <c r="I346" s="65">
        <v>750</v>
      </c>
      <c r="J346" s="65"/>
      <c r="K346" s="65"/>
      <c r="L346" s="65"/>
      <c r="M346" s="65"/>
      <c r="N346" s="65"/>
      <c r="O346" s="65"/>
      <c r="P346" s="65"/>
      <c r="Q346" s="65"/>
      <c r="R346" s="65"/>
      <c r="S346" s="65"/>
      <c r="T346" s="65"/>
      <c r="U346" s="65"/>
      <c r="V346" s="65"/>
      <c r="W346" s="65"/>
      <c r="X346" s="65"/>
      <c r="Y346" s="65"/>
      <c r="Z346" s="65"/>
      <c r="AA346" s="65"/>
      <c r="AB346" s="65"/>
      <c r="AC346" s="65"/>
      <c r="AD346" s="65"/>
      <c r="AE346" s="65"/>
      <c r="AF346" s="65"/>
      <c r="AG346" s="65"/>
      <c r="AH346" s="65"/>
      <c r="AI346" s="65"/>
      <c r="AJ346" s="65"/>
      <c r="AK346" s="65"/>
      <c r="AL346" s="65"/>
      <c r="AM346" s="65"/>
      <c r="AN346" s="65"/>
      <c r="AO346" s="65"/>
      <c r="AP346" s="65"/>
      <c r="AQ346" s="65"/>
      <c r="AR346" s="65"/>
      <c r="AS346" s="65"/>
      <c r="AT346" s="65"/>
      <c r="AU346" s="129">
        <v>750</v>
      </c>
      <c r="AV346" s="66">
        <v>11</v>
      </c>
      <c r="AW346" s="66">
        <v>42</v>
      </c>
      <c r="AX346" s="66">
        <v>61</v>
      </c>
      <c r="AY346" s="66">
        <v>38</v>
      </c>
      <c r="AZ346" s="42">
        <f>SUM(AV346:AY346)</f>
        <v>152</v>
      </c>
      <c r="BA346" s="42">
        <v>40</v>
      </c>
      <c r="BB346" s="42">
        <v>45</v>
      </c>
      <c r="BC346" s="42">
        <v>45</v>
      </c>
      <c r="BD346" s="42">
        <v>8</v>
      </c>
      <c r="BE346" s="42">
        <f t="shared" si="70"/>
        <v>138</v>
      </c>
      <c r="BF346" s="42">
        <v>3</v>
      </c>
      <c r="BG346" s="42">
        <v>114</v>
      </c>
      <c r="BH346" s="42"/>
      <c r="BI346" s="42"/>
      <c r="BJ346" s="42">
        <f t="shared" si="73"/>
        <v>117</v>
      </c>
      <c r="BK346" s="42">
        <f>SUM(AZ346+BE346+BJ346)</f>
        <v>407</v>
      </c>
      <c r="BL346" s="68">
        <f t="shared" si="69"/>
        <v>0.54266666666666663</v>
      </c>
      <c r="BM346" s="65"/>
      <c r="BN346" s="65"/>
    </row>
    <row r="347" spans="2:69" ht="30.75" customHeight="1" x14ac:dyDescent="0.2">
      <c r="B347" s="48"/>
      <c r="C347" s="547"/>
      <c r="D347" s="548"/>
      <c r="E347" s="549"/>
      <c r="F347" s="153"/>
      <c r="G347" s="16" t="s">
        <v>326</v>
      </c>
      <c r="H347" s="19" t="s">
        <v>27</v>
      </c>
      <c r="I347" s="65">
        <v>1</v>
      </c>
      <c r="J347" s="65"/>
      <c r="K347" s="65"/>
      <c r="L347" s="65"/>
      <c r="M347" s="65"/>
      <c r="N347" s="65"/>
      <c r="O347" s="65"/>
      <c r="P347" s="65"/>
      <c r="Q347" s="65"/>
      <c r="R347" s="65"/>
      <c r="S347" s="65"/>
      <c r="T347" s="65"/>
      <c r="U347" s="65"/>
      <c r="V347" s="65"/>
      <c r="W347" s="65"/>
      <c r="X347" s="65"/>
      <c r="Y347" s="65"/>
      <c r="Z347" s="65"/>
      <c r="AA347" s="65"/>
      <c r="AB347" s="65"/>
      <c r="AC347" s="65"/>
      <c r="AD347" s="65"/>
      <c r="AE347" s="65"/>
      <c r="AF347" s="65"/>
      <c r="AG347" s="65"/>
      <c r="AH347" s="65"/>
      <c r="AI347" s="65"/>
      <c r="AJ347" s="65"/>
      <c r="AK347" s="65"/>
      <c r="AL347" s="65"/>
      <c r="AM347" s="65"/>
      <c r="AN347" s="65"/>
      <c r="AO347" s="65"/>
      <c r="AP347" s="65"/>
      <c r="AQ347" s="65"/>
      <c r="AR347" s="65"/>
      <c r="AS347" s="65"/>
      <c r="AT347" s="65"/>
      <c r="AU347" s="42">
        <v>1</v>
      </c>
      <c r="AV347" s="111" t="s">
        <v>211</v>
      </c>
      <c r="AW347" s="111" t="s">
        <v>211</v>
      </c>
      <c r="AX347" s="111" t="s">
        <v>211</v>
      </c>
      <c r="AY347" s="111" t="s">
        <v>211</v>
      </c>
      <c r="AZ347" s="111" t="s">
        <v>211</v>
      </c>
      <c r="BA347" s="111" t="s">
        <v>211</v>
      </c>
      <c r="BB347" s="111" t="s">
        <v>211</v>
      </c>
      <c r="BC347" s="42">
        <v>1</v>
      </c>
      <c r="BD347" s="111" t="s">
        <v>211</v>
      </c>
      <c r="BE347" s="111">
        <f t="shared" si="70"/>
        <v>1</v>
      </c>
      <c r="BF347" s="136" t="s">
        <v>211</v>
      </c>
      <c r="BG347" s="111" t="s">
        <v>211</v>
      </c>
      <c r="BH347" s="111"/>
      <c r="BI347" s="111"/>
      <c r="BJ347" s="136" t="s">
        <v>211</v>
      </c>
      <c r="BK347" s="111" t="s">
        <v>362</v>
      </c>
      <c r="BL347" s="284">
        <f t="shared" si="69"/>
        <v>1</v>
      </c>
      <c r="BM347" s="17"/>
      <c r="BN347" s="17"/>
    </row>
    <row r="348" spans="2:69" ht="60" customHeight="1" x14ac:dyDescent="0.2">
      <c r="B348" s="48"/>
      <c r="C348" s="547"/>
      <c r="D348" s="548"/>
      <c r="E348" s="549"/>
      <c r="F348" s="153"/>
      <c r="G348" s="16" t="s">
        <v>327</v>
      </c>
      <c r="H348" s="19" t="s">
        <v>27</v>
      </c>
      <c r="I348" s="65">
        <v>1200</v>
      </c>
      <c r="J348" s="65"/>
      <c r="K348" s="65"/>
      <c r="L348" s="65"/>
      <c r="M348" s="65"/>
      <c r="N348" s="65"/>
      <c r="O348" s="65"/>
      <c r="P348" s="65"/>
      <c r="Q348" s="65"/>
      <c r="R348" s="65"/>
      <c r="S348" s="65"/>
      <c r="T348" s="65"/>
      <c r="U348" s="65"/>
      <c r="V348" s="65"/>
      <c r="W348" s="65"/>
      <c r="X348" s="65"/>
      <c r="Y348" s="65"/>
      <c r="Z348" s="65"/>
      <c r="AA348" s="65"/>
      <c r="AB348" s="65"/>
      <c r="AC348" s="65"/>
      <c r="AD348" s="65"/>
      <c r="AE348" s="65"/>
      <c r="AF348" s="65"/>
      <c r="AG348" s="65"/>
      <c r="AH348" s="65"/>
      <c r="AI348" s="65"/>
      <c r="AJ348" s="65"/>
      <c r="AK348" s="65"/>
      <c r="AL348" s="65"/>
      <c r="AM348" s="65"/>
      <c r="AN348" s="65"/>
      <c r="AO348" s="65"/>
      <c r="AP348" s="65"/>
      <c r="AQ348" s="65"/>
      <c r="AR348" s="65"/>
      <c r="AS348" s="65"/>
      <c r="AT348" s="65"/>
      <c r="AU348" s="42">
        <v>1200</v>
      </c>
      <c r="AV348" s="66">
        <v>109</v>
      </c>
      <c r="AW348" s="66">
        <v>124</v>
      </c>
      <c r="AX348" s="66">
        <v>85</v>
      </c>
      <c r="AY348" s="66">
        <v>112</v>
      </c>
      <c r="AZ348" s="42">
        <f>SUM(AV348:AY348)</f>
        <v>430</v>
      </c>
      <c r="BA348" s="42">
        <v>90</v>
      </c>
      <c r="BB348" s="42">
        <v>130</v>
      </c>
      <c r="BC348" s="42">
        <v>138</v>
      </c>
      <c r="BD348" s="42">
        <v>123</v>
      </c>
      <c r="BE348" s="42">
        <f t="shared" si="70"/>
        <v>481</v>
      </c>
      <c r="BF348" s="42">
        <v>140</v>
      </c>
      <c r="BG348" s="42">
        <v>99</v>
      </c>
      <c r="BH348" s="42"/>
      <c r="BI348" s="42"/>
      <c r="BJ348" s="42">
        <f t="shared" si="73"/>
        <v>239</v>
      </c>
      <c r="BK348" s="42">
        <f>SUM(AZ348+BE348+BJ348)</f>
        <v>1150</v>
      </c>
      <c r="BL348" s="68">
        <f t="shared" si="69"/>
        <v>0.95833333333333337</v>
      </c>
      <c r="BM348" s="17"/>
      <c r="BN348" s="17"/>
    </row>
    <row r="349" spans="2:69" ht="30.75" customHeight="1" x14ac:dyDescent="0.2">
      <c r="B349" s="48"/>
      <c r="C349" s="547"/>
      <c r="D349" s="548"/>
      <c r="E349" s="549"/>
      <c r="F349" s="153"/>
      <c r="G349" s="16" t="s">
        <v>83</v>
      </c>
      <c r="H349" s="19" t="s">
        <v>19</v>
      </c>
      <c r="I349" s="65">
        <v>950</v>
      </c>
      <c r="J349" s="65"/>
      <c r="K349" s="65"/>
      <c r="L349" s="65"/>
      <c r="M349" s="65"/>
      <c r="N349" s="65"/>
      <c r="O349" s="65"/>
      <c r="P349" s="65"/>
      <c r="Q349" s="65"/>
      <c r="R349" s="65"/>
      <c r="S349" s="65"/>
      <c r="T349" s="65"/>
      <c r="U349" s="65"/>
      <c r="V349" s="65"/>
      <c r="W349" s="65"/>
      <c r="X349" s="65"/>
      <c r="Y349" s="65"/>
      <c r="Z349" s="65"/>
      <c r="AA349" s="65"/>
      <c r="AB349" s="65"/>
      <c r="AC349" s="65"/>
      <c r="AD349" s="65"/>
      <c r="AE349" s="65"/>
      <c r="AF349" s="65"/>
      <c r="AG349" s="65"/>
      <c r="AH349" s="65"/>
      <c r="AI349" s="65"/>
      <c r="AJ349" s="65"/>
      <c r="AK349" s="65" t="s">
        <v>633</v>
      </c>
      <c r="AL349" s="65"/>
      <c r="AM349" s="65"/>
      <c r="AN349" s="65"/>
      <c r="AO349" s="65"/>
      <c r="AP349" s="65"/>
      <c r="AQ349" s="65"/>
      <c r="AR349" s="65"/>
      <c r="AS349" s="65"/>
      <c r="AT349" s="65"/>
      <c r="AU349" s="270">
        <v>3231</v>
      </c>
      <c r="AV349" s="66">
        <v>111</v>
      </c>
      <c r="AW349" s="66">
        <v>224</v>
      </c>
      <c r="AX349" s="66">
        <v>290</v>
      </c>
      <c r="AY349" s="66">
        <v>304</v>
      </c>
      <c r="AZ349" s="42">
        <f>SUM(AV349:AY349)</f>
        <v>929</v>
      </c>
      <c r="BA349" s="42">
        <v>364</v>
      </c>
      <c r="BB349" s="42">
        <v>378</v>
      </c>
      <c r="BC349" s="42">
        <v>286</v>
      </c>
      <c r="BD349" s="42">
        <v>233</v>
      </c>
      <c r="BE349" s="42">
        <f t="shared" si="70"/>
        <v>1261</v>
      </c>
      <c r="BF349" s="42">
        <v>213</v>
      </c>
      <c r="BG349" s="42">
        <v>154</v>
      </c>
      <c r="BH349" s="42"/>
      <c r="BI349" s="42"/>
      <c r="BJ349" s="42">
        <f t="shared" si="73"/>
        <v>367</v>
      </c>
      <c r="BK349" s="42">
        <f>SUM(AZ349+BE349+BJ349)</f>
        <v>2557</v>
      </c>
      <c r="BL349" s="68">
        <f t="shared" si="69"/>
        <v>0.7913958526771897</v>
      </c>
      <c r="BM349" s="17"/>
      <c r="BN349" s="17"/>
    </row>
    <row r="350" spans="2:69" ht="44.25" customHeight="1" x14ac:dyDescent="0.2">
      <c r="B350" s="48"/>
      <c r="C350" s="381"/>
      <c r="D350" s="381"/>
      <c r="E350" s="381"/>
      <c r="F350" s="153"/>
      <c r="G350" s="16" t="s">
        <v>84</v>
      </c>
      <c r="H350" s="19" t="s">
        <v>25</v>
      </c>
      <c r="I350" s="65">
        <v>110347</v>
      </c>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G350" s="65"/>
      <c r="AH350" s="65"/>
      <c r="AI350" s="65"/>
      <c r="AJ350" s="65"/>
      <c r="AK350" s="65" t="s">
        <v>634</v>
      </c>
      <c r="AL350" s="65"/>
      <c r="AM350" s="65"/>
      <c r="AN350" s="65"/>
      <c r="AO350" s="65"/>
      <c r="AP350" s="65"/>
      <c r="AQ350" s="65"/>
      <c r="AR350" s="65"/>
      <c r="AS350" s="65"/>
      <c r="AT350" s="65"/>
      <c r="AU350" s="270">
        <v>148025</v>
      </c>
      <c r="AV350" s="66">
        <v>3861</v>
      </c>
      <c r="AW350" s="66">
        <v>8605</v>
      </c>
      <c r="AX350" s="66">
        <v>18760</v>
      </c>
      <c r="AY350" s="66">
        <v>6361</v>
      </c>
      <c r="AZ350" s="42">
        <f>SUM(AV350:AY350)</f>
        <v>37587</v>
      </c>
      <c r="BA350" s="42">
        <v>15567</v>
      </c>
      <c r="BB350" s="42">
        <v>10836</v>
      </c>
      <c r="BC350" s="42">
        <v>6718</v>
      </c>
      <c r="BD350" s="42">
        <v>30569</v>
      </c>
      <c r="BE350" s="42">
        <f t="shared" si="70"/>
        <v>63690</v>
      </c>
      <c r="BF350" s="42">
        <v>546</v>
      </c>
      <c r="BG350" s="42">
        <v>51272</v>
      </c>
      <c r="BH350" s="42"/>
      <c r="BI350" s="42"/>
      <c r="BJ350" s="42">
        <f t="shared" si="73"/>
        <v>51818</v>
      </c>
      <c r="BK350" s="42">
        <v>148052</v>
      </c>
      <c r="BL350" s="284">
        <f t="shared" si="69"/>
        <v>1.0001824016213476</v>
      </c>
      <c r="BM350" s="17"/>
      <c r="BN350" s="27"/>
    </row>
    <row r="351" spans="2:69" s="181" customFormat="1" ht="30" customHeight="1" x14ac:dyDescent="0.2">
      <c r="B351" s="550" t="s">
        <v>102</v>
      </c>
      <c r="C351" s="550"/>
      <c r="D351" s="550"/>
      <c r="E351" s="550"/>
      <c r="F351" s="560" t="s">
        <v>137</v>
      </c>
      <c r="G351" s="560"/>
      <c r="H351" s="560"/>
      <c r="I351" s="560"/>
      <c r="J351" s="560"/>
      <c r="K351" s="560"/>
      <c r="L351" s="560"/>
      <c r="M351" s="560"/>
      <c r="N351" s="560"/>
      <c r="O351" s="560"/>
      <c r="P351" s="560"/>
      <c r="Q351" s="560"/>
      <c r="R351" s="560"/>
      <c r="S351" s="560"/>
      <c r="T351" s="560"/>
      <c r="U351" s="560"/>
      <c r="V351" s="560"/>
      <c r="W351" s="560"/>
      <c r="X351" s="560"/>
      <c r="Y351" s="560"/>
      <c r="Z351" s="560"/>
      <c r="AA351" s="560"/>
      <c r="AB351" s="560"/>
      <c r="AC351" s="560"/>
      <c r="AD351" s="560"/>
      <c r="AE351" s="560"/>
      <c r="AF351" s="560"/>
      <c r="AG351" s="560"/>
      <c r="AH351" s="560"/>
      <c r="AI351" s="560"/>
      <c r="AJ351" s="560"/>
      <c r="AK351" s="560"/>
      <c r="AL351" s="560"/>
      <c r="AM351" s="560"/>
      <c r="AN351" s="560"/>
      <c r="AO351" s="560"/>
      <c r="AP351" s="560"/>
      <c r="AQ351" s="560"/>
      <c r="AR351" s="560"/>
      <c r="AS351" s="560"/>
      <c r="AT351" s="560"/>
      <c r="AU351" s="560"/>
      <c r="AV351" s="560"/>
      <c r="AW351" s="560"/>
      <c r="AX351" s="560"/>
      <c r="AY351" s="560"/>
      <c r="AZ351" s="560"/>
      <c r="BA351" s="560"/>
      <c r="BB351" s="560"/>
      <c r="BC351" s="560"/>
      <c r="BD351" s="560"/>
      <c r="BE351" s="560"/>
      <c r="BF351" s="560"/>
      <c r="BG351" s="560"/>
      <c r="BH351" s="560"/>
      <c r="BI351" s="560"/>
      <c r="BJ351" s="560"/>
      <c r="BK351" s="560"/>
      <c r="BL351" s="560"/>
      <c r="BM351" s="560"/>
      <c r="BN351" s="560"/>
      <c r="BQ351" s="225"/>
    </row>
    <row r="352" spans="2:69" s="181" customFormat="1" ht="16.5" customHeight="1" x14ac:dyDescent="0.2">
      <c r="B352" s="561" t="s">
        <v>103</v>
      </c>
      <c r="C352" s="561"/>
      <c r="D352" s="561"/>
      <c r="E352" s="561"/>
      <c r="F352" s="563" t="s">
        <v>138</v>
      </c>
      <c r="G352" s="563"/>
      <c r="H352" s="563"/>
      <c r="I352" s="563"/>
      <c r="J352" s="563"/>
      <c r="K352" s="563"/>
      <c r="L352" s="563"/>
      <c r="M352" s="563"/>
      <c r="N352" s="563"/>
      <c r="O352" s="563"/>
      <c r="P352" s="563"/>
      <c r="Q352" s="563"/>
      <c r="R352" s="563"/>
      <c r="S352" s="563"/>
      <c r="T352" s="563"/>
      <c r="U352" s="563"/>
      <c r="V352" s="563"/>
      <c r="W352" s="563"/>
      <c r="X352" s="563"/>
      <c r="Y352" s="563"/>
      <c r="Z352" s="563"/>
      <c r="AA352" s="563"/>
      <c r="AB352" s="563"/>
      <c r="AC352" s="563"/>
      <c r="AD352" s="563"/>
      <c r="AE352" s="563"/>
      <c r="AF352" s="563"/>
      <c r="AG352" s="563"/>
      <c r="AH352" s="563"/>
      <c r="AI352" s="563"/>
      <c r="AJ352" s="563"/>
      <c r="AK352" s="563"/>
      <c r="AL352" s="563"/>
      <c r="AM352" s="563"/>
      <c r="AN352" s="563"/>
      <c r="AO352" s="563"/>
      <c r="AP352" s="563"/>
      <c r="AQ352" s="563"/>
      <c r="AR352" s="563"/>
      <c r="AS352" s="563"/>
      <c r="AT352" s="563"/>
      <c r="AU352" s="563"/>
      <c r="AV352" s="563"/>
      <c r="AW352" s="563"/>
      <c r="AX352" s="563"/>
      <c r="AY352" s="563"/>
      <c r="AZ352" s="563"/>
      <c r="BA352" s="563"/>
      <c r="BB352" s="563"/>
      <c r="BC352" s="563"/>
      <c r="BD352" s="563"/>
      <c r="BE352" s="563"/>
      <c r="BF352" s="563"/>
      <c r="BG352" s="563"/>
      <c r="BH352" s="563"/>
      <c r="BI352" s="563"/>
      <c r="BJ352" s="563"/>
      <c r="BK352" s="563"/>
      <c r="BL352" s="563"/>
      <c r="BM352" s="563"/>
      <c r="BN352" s="563"/>
      <c r="BQ352" s="225"/>
    </row>
    <row r="353" spans="2:69" ht="54" customHeight="1" x14ac:dyDescent="0.2">
      <c r="B353" s="30">
        <v>2</v>
      </c>
      <c r="C353" s="378" t="s">
        <v>332</v>
      </c>
      <c r="D353" s="379"/>
      <c r="E353" s="380"/>
      <c r="F353" s="48"/>
      <c r="G353" s="48"/>
      <c r="H353" s="155" t="s">
        <v>28</v>
      </c>
      <c r="I353" s="10">
        <v>68572</v>
      </c>
      <c r="J353" s="10"/>
      <c r="K353" s="10"/>
      <c r="L353" s="10"/>
      <c r="M353" s="42" t="s">
        <v>462</v>
      </c>
      <c r="N353" s="42"/>
      <c r="O353" s="42"/>
      <c r="P353" s="42"/>
      <c r="Q353" s="42"/>
      <c r="R353" s="42"/>
      <c r="S353" s="42"/>
      <c r="T353" s="42" t="s">
        <v>521</v>
      </c>
      <c r="U353" s="42"/>
      <c r="V353" s="42"/>
      <c r="W353" s="42"/>
      <c r="X353" s="42"/>
      <c r="Y353" s="42" t="s">
        <v>541</v>
      </c>
      <c r="Z353" s="42" t="s">
        <v>545</v>
      </c>
      <c r="AA353" s="42"/>
      <c r="AB353" s="42"/>
      <c r="AC353" s="42"/>
      <c r="AD353" s="42"/>
      <c r="AE353" s="42"/>
      <c r="AF353" s="42"/>
      <c r="AG353" s="42"/>
      <c r="AH353" s="42" t="s">
        <v>599</v>
      </c>
      <c r="AI353" s="307" t="s">
        <v>636</v>
      </c>
      <c r="AJ353" s="307" t="s">
        <v>623</v>
      </c>
      <c r="AK353" s="307" t="s">
        <v>628</v>
      </c>
      <c r="AL353" s="307"/>
      <c r="AM353" s="307"/>
      <c r="AN353" s="307"/>
      <c r="AO353" s="307"/>
      <c r="AP353" s="307"/>
      <c r="AQ353" s="307"/>
      <c r="AR353" s="307"/>
      <c r="AS353" s="307"/>
      <c r="AT353" s="307"/>
      <c r="AU353" s="237">
        <v>75610</v>
      </c>
      <c r="AV353" s="10">
        <f>+AV354+AV355</f>
        <v>2451</v>
      </c>
      <c r="AW353" s="10">
        <f>+AW354+AW355</f>
        <v>6720</v>
      </c>
      <c r="AX353" s="10">
        <f>+AX354+AX355</f>
        <v>5505</v>
      </c>
      <c r="AY353" s="10">
        <f>+AY354+AY355</f>
        <v>4898</v>
      </c>
      <c r="AZ353" s="154">
        <f>SUM(AV353:AY353)</f>
        <v>19574</v>
      </c>
      <c r="BA353" s="10">
        <f>+BA354+BA355</f>
        <v>5285</v>
      </c>
      <c r="BB353" s="10">
        <f>+BB354+BB355</f>
        <v>7004</v>
      </c>
      <c r="BC353" s="10">
        <f>+BC354+BC355</f>
        <v>5681</v>
      </c>
      <c r="BD353" s="10">
        <f>+BD354+BD355</f>
        <v>6134</v>
      </c>
      <c r="BE353" s="154">
        <f>SUM(BA353+BB353+BC353+BD353)</f>
        <v>24104</v>
      </c>
      <c r="BF353" s="10">
        <f>+BF354+BF355</f>
        <v>6119</v>
      </c>
      <c r="BG353" s="10">
        <f>SUM(BG354:BG355)</f>
        <v>6282</v>
      </c>
      <c r="BH353" s="10"/>
      <c r="BI353" s="10"/>
      <c r="BJ353" s="154">
        <f>SUM(BF353:BI353)</f>
        <v>12401</v>
      </c>
      <c r="BK353" s="154">
        <f>SUM(AZ353+BE353+BJ353)</f>
        <v>56079</v>
      </c>
      <c r="BL353" s="41">
        <f>SUM(BK353/AU353)</f>
        <v>0.74168760745933082</v>
      </c>
      <c r="BM353" s="3">
        <v>16839440</v>
      </c>
      <c r="BN353" s="258" t="s">
        <v>592</v>
      </c>
      <c r="BO353" s="61">
        <f>2435+2825+1820+1020</f>
        <v>8100</v>
      </c>
      <c r="BP353" s="223"/>
    </row>
    <row r="354" spans="2:69" ht="57.75" customHeight="1" outlineLevel="1" x14ac:dyDescent="0.2">
      <c r="B354" s="48"/>
      <c r="C354" s="386"/>
      <c r="D354" s="381"/>
      <c r="E354" s="381"/>
      <c r="F354" s="64" t="s">
        <v>85</v>
      </c>
      <c r="G354" s="50"/>
      <c r="H354" s="19" t="s">
        <v>28</v>
      </c>
      <c r="I354" s="10">
        <v>67234</v>
      </c>
      <c r="J354" s="10"/>
      <c r="K354" s="10"/>
      <c r="L354" s="10"/>
      <c r="M354" s="42" t="s">
        <v>460</v>
      </c>
      <c r="N354" s="42"/>
      <c r="O354" s="42"/>
      <c r="P354" s="42"/>
      <c r="Q354" s="42"/>
      <c r="R354" s="42"/>
      <c r="S354" s="42"/>
      <c r="T354" s="42" t="s">
        <v>521</v>
      </c>
      <c r="U354" s="42"/>
      <c r="V354" s="42"/>
      <c r="W354" s="42"/>
      <c r="X354" s="42"/>
      <c r="Y354" s="42" t="s">
        <v>541</v>
      </c>
      <c r="Z354" s="42" t="s">
        <v>544</v>
      </c>
      <c r="AA354" s="42"/>
      <c r="AB354" s="42"/>
      <c r="AC354" s="42"/>
      <c r="AD354" s="42"/>
      <c r="AE354" s="42"/>
      <c r="AF354" s="42"/>
      <c r="AG354" s="42"/>
      <c r="AH354" s="42" t="s">
        <v>599</v>
      </c>
      <c r="AI354" s="42"/>
      <c r="AJ354" s="42"/>
      <c r="AK354" s="42"/>
      <c r="AL354" s="42"/>
      <c r="AM354" s="42"/>
      <c r="AN354" s="42"/>
      <c r="AO354" s="42"/>
      <c r="AP354" s="42"/>
      <c r="AQ354" s="42"/>
      <c r="AR354" s="42"/>
      <c r="AS354" s="42"/>
      <c r="AT354" s="42"/>
      <c r="AU354" s="237">
        <v>74185</v>
      </c>
      <c r="AV354" s="67">
        <v>2428</v>
      </c>
      <c r="AW354" s="67">
        <v>6626</v>
      </c>
      <c r="AX354" s="67">
        <v>5463</v>
      </c>
      <c r="AY354" s="67">
        <v>4801</v>
      </c>
      <c r="AZ354" s="154">
        <f>SUM(AV354:AY354)</f>
        <v>19318</v>
      </c>
      <c r="BA354" s="279">
        <v>5222</v>
      </c>
      <c r="BB354" s="286">
        <v>6899</v>
      </c>
      <c r="BC354" s="293">
        <v>5598</v>
      </c>
      <c r="BD354" s="154">
        <v>6031</v>
      </c>
      <c r="BE354" s="154">
        <f>SUM(BA354+BB354+BC354+BD354)</f>
        <v>23750</v>
      </c>
      <c r="BF354" s="324">
        <v>6019</v>
      </c>
      <c r="BG354" s="154">
        <v>6204</v>
      </c>
      <c r="BH354" s="154"/>
      <c r="BI354" s="154"/>
      <c r="BJ354" s="154">
        <f>SUM(BF354:BI354)</f>
        <v>12223</v>
      </c>
      <c r="BK354" s="154">
        <f>SUM(AZ354+BE354+BJ354)</f>
        <v>55291</v>
      </c>
      <c r="BL354" s="41">
        <f>SUM(BK354/AU354)</f>
        <v>0.74531239468895327</v>
      </c>
      <c r="BM354" s="65"/>
      <c r="BN354" s="65"/>
      <c r="BO354" s="62">
        <f>2400+2800+1800+1000</f>
        <v>8000</v>
      </c>
      <c r="BP354" s="223"/>
    </row>
    <row r="355" spans="2:69" ht="76.5" outlineLevel="1" x14ac:dyDescent="0.2">
      <c r="B355" s="48"/>
      <c r="C355" s="381"/>
      <c r="D355" s="381"/>
      <c r="E355" s="381"/>
      <c r="F355" s="64" t="s">
        <v>333</v>
      </c>
      <c r="G355" s="50"/>
      <c r="H355" s="19" t="s">
        <v>28</v>
      </c>
      <c r="I355" s="10">
        <v>1338</v>
      </c>
      <c r="J355" s="10"/>
      <c r="K355" s="10"/>
      <c r="L355" s="10"/>
      <c r="M355" s="42" t="s">
        <v>461</v>
      </c>
      <c r="N355" s="42"/>
      <c r="O355" s="42"/>
      <c r="P355" s="42"/>
      <c r="Q355" s="42"/>
      <c r="R355" s="42"/>
      <c r="S355" s="42"/>
      <c r="T355" s="42"/>
      <c r="U355" s="42"/>
      <c r="V355" s="42"/>
      <c r="W355" s="42"/>
      <c r="X355" s="42"/>
      <c r="Y355" s="42"/>
      <c r="Z355" s="42" t="s">
        <v>438</v>
      </c>
      <c r="AA355" s="42"/>
      <c r="AB355" s="42"/>
      <c r="AC355" s="42"/>
      <c r="AD355" s="42"/>
      <c r="AE355" s="42"/>
      <c r="AF355" s="42"/>
      <c r="AG355" s="42"/>
      <c r="AH355" s="42"/>
      <c r="AI355" s="42"/>
      <c r="AJ355" s="42"/>
      <c r="AK355" s="42"/>
      <c r="AL355" s="42"/>
      <c r="AM355" s="42"/>
      <c r="AN355" s="42"/>
      <c r="AO355" s="42"/>
      <c r="AP355" s="42"/>
      <c r="AQ355" s="42"/>
      <c r="AR355" s="42"/>
      <c r="AS355" s="42"/>
      <c r="AT355" s="42"/>
      <c r="AU355" s="237">
        <v>1425</v>
      </c>
      <c r="AV355" s="67">
        <v>23</v>
      </c>
      <c r="AW355" s="67">
        <v>94</v>
      </c>
      <c r="AX355" s="67">
        <v>42</v>
      </c>
      <c r="AY355" s="67">
        <v>97</v>
      </c>
      <c r="AZ355" s="154">
        <f>SUM(AV355:AY355)</f>
        <v>256</v>
      </c>
      <c r="BA355" s="279">
        <v>63</v>
      </c>
      <c r="BB355" s="286">
        <v>105</v>
      </c>
      <c r="BC355" s="293">
        <v>83</v>
      </c>
      <c r="BD355" s="154">
        <v>103</v>
      </c>
      <c r="BE355" s="154">
        <f>SUM(BA355+BB355+BC355+BD355)</f>
        <v>354</v>
      </c>
      <c r="BF355" s="324">
        <v>100</v>
      </c>
      <c r="BG355" s="154">
        <v>78</v>
      </c>
      <c r="BH355" s="135"/>
      <c r="BI355" s="154"/>
      <c r="BJ355" s="154">
        <f>SUM(BF355:BI355)</f>
        <v>178</v>
      </c>
      <c r="BK355" s="154">
        <f>SUM(AZ355+BE355+BJ355)</f>
        <v>788</v>
      </c>
      <c r="BL355" s="41">
        <f>SUM(BK355/AU355)</f>
        <v>0.55298245614035091</v>
      </c>
      <c r="BM355" s="65"/>
      <c r="BN355" s="65"/>
      <c r="BO355" s="61">
        <f>35+25+20+20</f>
        <v>100</v>
      </c>
      <c r="BP355" s="223"/>
    </row>
    <row r="356" spans="2:69" ht="21" customHeight="1" x14ac:dyDescent="0.2">
      <c r="B356" s="385" t="s">
        <v>86</v>
      </c>
      <c r="C356" s="385"/>
      <c r="D356" s="385"/>
      <c r="E356" s="385"/>
      <c r="F356" s="385"/>
      <c r="G356" s="385"/>
      <c r="H356" s="385"/>
      <c r="I356" s="385"/>
      <c r="J356" s="385"/>
      <c r="K356" s="385"/>
      <c r="L356" s="385"/>
      <c r="M356" s="385"/>
      <c r="N356" s="385"/>
      <c r="O356" s="385"/>
      <c r="P356" s="385"/>
      <c r="Q356" s="385"/>
      <c r="R356" s="385"/>
      <c r="S356" s="385"/>
      <c r="T356" s="385"/>
      <c r="U356" s="385"/>
      <c r="V356" s="385"/>
      <c r="W356" s="385"/>
      <c r="X356" s="385"/>
      <c r="Y356" s="385"/>
      <c r="Z356" s="385"/>
      <c r="AA356" s="385"/>
      <c r="AB356" s="385"/>
      <c r="AC356" s="385"/>
      <c r="AD356" s="385"/>
      <c r="AE356" s="385"/>
      <c r="AF356" s="385"/>
      <c r="AG356" s="385"/>
      <c r="AH356" s="385"/>
      <c r="AI356" s="385"/>
      <c r="AJ356" s="385"/>
      <c r="AK356" s="385"/>
      <c r="AL356" s="385"/>
      <c r="AM356" s="385"/>
      <c r="AN356" s="385"/>
      <c r="AO356" s="385"/>
      <c r="AP356" s="385"/>
      <c r="AQ356" s="385"/>
      <c r="AR356" s="385"/>
      <c r="AS356" s="385"/>
      <c r="AT356" s="385"/>
      <c r="AU356" s="385"/>
      <c r="AV356" s="385"/>
      <c r="AW356" s="385"/>
      <c r="AX356" s="385"/>
      <c r="AY356" s="385"/>
      <c r="AZ356" s="385"/>
      <c r="BA356" s="385"/>
      <c r="BB356" s="385"/>
      <c r="BC356" s="385"/>
      <c r="BD356" s="385"/>
      <c r="BE356" s="385"/>
      <c r="BF356" s="385"/>
      <c r="BG356" s="385"/>
      <c r="BH356" s="385"/>
      <c r="BI356" s="385"/>
      <c r="BJ356" s="385"/>
      <c r="BK356" s="385"/>
      <c r="BL356" s="385"/>
      <c r="BM356" s="385"/>
      <c r="BN356" s="99"/>
    </row>
    <row r="357" spans="2:69" ht="22.5" customHeight="1" x14ac:dyDescent="0.2">
      <c r="B357" s="215"/>
      <c r="C357" s="216"/>
      <c r="D357" s="216"/>
      <c r="E357" s="216"/>
      <c r="F357" s="216"/>
      <c r="G357" s="216"/>
      <c r="H357" s="216"/>
      <c r="I357" s="601" t="s">
        <v>368</v>
      </c>
      <c r="J357" s="601"/>
      <c r="K357" s="601"/>
      <c r="L357" s="601"/>
      <c r="M357" s="601"/>
      <c r="N357" s="601"/>
      <c r="O357" s="601"/>
      <c r="P357" s="601"/>
      <c r="Q357" s="601"/>
      <c r="R357" s="601"/>
      <c r="S357" s="601"/>
      <c r="T357" s="601"/>
      <c r="U357" s="601"/>
      <c r="V357" s="601"/>
      <c r="W357" s="601"/>
      <c r="X357" s="601"/>
      <c r="Y357" s="601"/>
      <c r="Z357" s="601"/>
      <c r="AA357" s="601"/>
      <c r="AB357" s="601"/>
      <c r="AC357" s="601"/>
      <c r="AD357" s="601"/>
      <c r="AE357" s="601"/>
      <c r="AF357" s="601"/>
      <c r="AG357" s="601"/>
      <c r="AH357" s="601"/>
      <c r="AI357" s="601"/>
      <c r="AJ357" s="601"/>
      <c r="AK357" s="601"/>
      <c r="AL357" s="601"/>
      <c r="AM357" s="601"/>
      <c r="AN357" s="601"/>
      <c r="AO357" s="601"/>
      <c r="AP357" s="601"/>
      <c r="AQ357" s="601"/>
      <c r="AR357" s="601"/>
      <c r="AS357" s="601"/>
      <c r="AT357" s="601"/>
      <c r="AU357" s="601"/>
      <c r="AV357" s="601"/>
      <c r="AW357" s="601"/>
      <c r="AX357" s="601"/>
      <c r="AY357" s="601"/>
      <c r="AZ357" s="601"/>
      <c r="BA357" s="601"/>
      <c r="BB357" s="601"/>
      <c r="BC357" s="601"/>
      <c r="BD357" s="601"/>
      <c r="BE357" s="601"/>
      <c r="BF357" s="601"/>
      <c r="BG357" s="601"/>
      <c r="BH357" s="601"/>
      <c r="BI357" s="601"/>
      <c r="BJ357" s="601"/>
      <c r="BK357" s="601"/>
      <c r="BL357" s="601"/>
      <c r="BM357" s="601"/>
      <c r="BN357" s="602"/>
      <c r="BO357" s="215" t="s">
        <v>235</v>
      </c>
    </row>
    <row r="358" spans="2:69" ht="62.25" customHeight="1" x14ac:dyDescent="0.2">
      <c r="B358" s="184" t="s">
        <v>139</v>
      </c>
      <c r="C358" s="382" t="s">
        <v>94</v>
      </c>
      <c r="D358" s="383"/>
      <c r="E358" s="384"/>
      <c r="F358" s="185" t="s">
        <v>95</v>
      </c>
      <c r="G358" s="186" t="s">
        <v>4</v>
      </c>
      <c r="H358" s="187" t="s">
        <v>3</v>
      </c>
      <c r="I358" s="188" t="s">
        <v>96</v>
      </c>
      <c r="J358" s="207" t="s">
        <v>494</v>
      </c>
      <c r="K358" s="207" t="s">
        <v>495</v>
      </c>
      <c r="L358" s="207" t="s">
        <v>380</v>
      </c>
      <c r="M358" s="208" t="s">
        <v>381</v>
      </c>
      <c r="N358" s="207" t="s">
        <v>517</v>
      </c>
      <c r="O358" s="207" t="s">
        <v>518</v>
      </c>
      <c r="P358" s="207" t="s">
        <v>490</v>
      </c>
      <c r="Q358" s="208" t="s">
        <v>491</v>
      </c>
      <c r="R358" s="208" t="s">
        <v>492</v>
      </c>
      <c r="S358" s="208" t="s">
        <v>493</v>
      </c>
      <c r="T358" s="208" t="s">
        <v>519</v>
      </c>
      <c r="U358" s="208" t="s">
        <v>523</v>
      </c>
      <c r="V358" s="208" t="s">
        <v>525</v>
      </c>
      <c r="W358" s="208" t="s">
        <v>571</v>
      </c>
      <c r="X358" s="208" t="s">
        <v>538</v>
      </c>
      <c r="Y358" s="208" t="s">
        <v>553</v>
      </c>
      <c r="Z358" s="208" t="s">
        <v>554</v>
      </c>
      <c r="AA358" s="307" t="s">
        <v>581</v>
      </c>
      <c r="AB358" s="208" t="s">
        <v>570</v>
      </c>
      <c r="AC358" s="307" t="s">
        <v>564</v>
      </c>
      <c r="AD358" s="307" t="s">
        <v>582</v>
      </c>
      <c r="AE358" s="309" t="s">
        <v>578</v>
      </c>
      <c r="AF358" s="307" t="s">
        <v>635</v>
      </c>
      <c r="AG358" s="307" t="s">
        <v>590</v>
      </c>
      <c r="AH358" s="307" t="s">
        <v>606</v>
      </c>
      <c r="AI358" s="307" t="s">
        <v>636</v>
      </c>
      <c r="AJ358" s="307" t="s">
        <v>623</v>
      </c>
      <c r="AK358" s="307" t="s">
        <v>628</v>
      </c>
      <c r="AL358" s="307" t="s">
        <v>637</v>
      </c>
      <c r="AM358" s="307"/>
      <c r="AN358" s="307" t="s">
        <v>643</v>
      </c>
      <c r="AO358" s="307" t="s">
        <v>646</v>
      </c>
      <c r="AP358" s="307"/>
      <c r="AQ358" s="307" t="s">
        <v>689</v>
      </c>
      <c r="AR358" s="307" t="s">
        <v>697</v>
      </c>
      <c r="AS358" s="307" t="s">
        <v>725</v>
      </c>
      <c r="AT358" s="307" t="s">
        <v>729</v>
      </c>
      <c r="AU358" s="188" t="s">
        <v>150</v>
      </c>
      <c r="AV358" s="83" t="s">
        <v>5</v>
      </c>
      <c r="AW358" s="83" t="s">
        <v>6</v>
      </c>
      <c r="AX358" s="83" t="s">
        <v>7</v>
      </c>
      <c r="AY358" s="83" t="s">
        <v>8</v>
      </c>
      <c r="AZ358" s="84" t="s">
        <v>157</v>
      </c>
      <c r="BA358" s="85" t="s">
        <v>9</v>
      </c>
      <c r="BB358" s="85" t="s">
        <v>10</v>
      </c>
      <c r="BC358" s="85" t="s">
        <v>11</v>
      </c>
      <c r="BD358" s="85" t="s">
        <v>12</v>
      </c>
      <c r="BE358" s="84" t="s">
        <v>158</v>
      </c>
      <c r="BF358" s="85" t="s">
        <v>13</v>
      </c>
      <c r="BG358" s="85" t="s">
        <v>14</v>
      </c>
      <c r="BH358" s="85" t="s">
        <v>15</v>
      </c>
      <c r="BI358" s="85" t="s">
        <v>16</v>
      </c>
      <c r="BJ358" s="84" t="s">
        <v>159</v>
      </c>
      <c r="BK358" s="189" t="s">
        <v>97</v>
      </c>
      <c r="BL358" s="189" t="s">
        <v>98</v>
      </c>
      <c r="BM358" s="190" t="s">
        <v>236</v>
      </c>
      <c r="BN358" s="189" t="s">
        <v>99</v>
      </c>
    </row>
    <row r="359" spans="2:69" ht="36" customHeight="1" x14ac:dyDescent="0.2">
      <c r="B359" s="514" t="s">
        <v>17</v>
      </c>
      <c r="C359" s="515"/>
      <c r="D359" s="515"/>
      <c r="E359" s="515"/>
      <c r="F359" s="515"/>
      <c r="G359" s="515"/>
      <c r="H359" s="516"/>
      <c r="I359" s="54">
        <f>+I360+I362</f>
        <v>17</v>
      </c>
      <c r="J359" s="54"/>
      <c r="K359" s="54"/>
      <c r="L359" s="207"/>
      <c r="M359" s="207"/>
      <c r="N359" s="207"/>
      <c r="O359" s="207"/>
      <c r="P359" s="207"/>
      <c r="Q359" s="207"/>
      <c r="R359" s="207"/>
      <c r="S359" s="207"/>
      <c r="T359" s="207"/>
      <c r="U359" s="207"/>
      <c r="V359" s="207"/>
      <c r="W359" s="207"/>
      <c r="X359" s="207"/>
      <c r="Y359" s="207"/>
      <c r="Z359" s="207"/>
      <c r="AA359" s="207"/>
      <c r="AB359" s="207"/>
      <c r="AC359" s="207"/>
      <c r="AD359" s="207"/>
      <c r="AE359" s="207"/>
      <c r="AG359" s="309"/>
      <c r="AH359" s="309"/>
      <c r="AI359" s="309"/>
      <c r="AJ359" s="309"/>
      <c r="AK359" s="309"/>
      <c r="AL359" s="309"/>
      <c r="AM359" s="309"/>
      <c r="AN359" s="309"/>
      <c r="AO359" s="309"/>
      <c r="AP359" s="309"/>
      <c r="AQ359" s="309"/>
      <c r="AR359" s="309"/>
      <c r="AS359" s="309"/>
      <c r="AT359" s="309"/>
      <c r="AU359" s="54">
        <v>17</v>
      </c>
      <c r="AV359" s="180" t="s">
        <v>211</v>
      </c>
      <c r="AW359" s="180" t="s">
        <v>211</v>
      </c>
      <c r="AX359" s="180" t="s">
        <v>211</v>
      </c>
      <c r="AY359" s="54" t="s">
        <v>211</v>
      </c>
      <c r="AZ359" s="180" t="s">
        <v>211</v>
      </c>
      <c r="BA359" s="180" t="s">
        <v>211</v>
      </c>
      <c r="BB359" s="180" t="s">
        <v>211</v>
      </c>
      <c r="BC359" s="54" t="s">
        <v>211</v>
      </c>
      <c r="BD359" s="54" t="s">
        <v>211</v>
      </c>
      <c r="BE359" s="180" t="s">
        <v>211</v>
      </c>
      <c r="BF359" s="180" t="s">
        <v>472</v>
      </c>
      <c r="BG359" s="180" t="s">
        <v>211</v>
      </c>
      <c r="BH359" s="180"/>
      <c r="BI359" s="180"/>
      <c r="BJ359" s="180" t="s">
        <v>472</v>
      </c>
      <c r="BK359" s="180">
        <f t="shared" ref="BK359:BK364" si="74">SUM(AZ359+BE359+BJ359)</f>
        <v>6</v>
      </c>
      <c r="BL359" s="332">
        <f t="shared" ref="BL359:BL364" si="75">SUM(BK359/AU359)</f>
        <v>0.35294117647058826</v>
      </c>
      <c r="BM359" s="103">
        <f>+BM360+BM362</f>
        <v>126991042</v>
      </c>
      <c r="BN359" s="123" t="s">
        <v>682</v>
      </c>
    </row>
    <row r="360" spans="2:69" ht="41.25" customHeight="1" x14ac:dyDescent="0.2">
      <c r="B360" s="30">
        <v>1</v>
      </c>
      <c r="C360" s="378" t="s">
        <v>87</v>
      </c>
      <c r="D360" s="379"/>
      <c r="E360" s="380"/>
      <c r="F360" s="48"/>
      <c r="G360" s="200"/>
      <c r="H360" s="29" t="s">
        <v>25</v>
      </c>
      <c r="I360" s="10">
        <v>16</v>
      </c>
      <c r="J360" s="10" t="s">
        <v>359</v>
      </c>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t="s">
        <v>420</v>
      </c>
      <c r="AJ360" s="10"/>
      <c r="AK360" s="10"/>
      <c r="AL360" s="10"/>
      <c r="AM360" s="10"/>
      <c r="AN360" s="10"/>
      <c r="AO360" s="10"/>
      <c r="AP360" s="10"/>
      <c r="AQ360" s="10"/>
      <c r="AR360" s="10"/>
      <c r="AS360" s="10"/>
      <c r="AT360" s="10"/>
      <c r="AU360" s="237">
        <v>16</v>
      </c>
      <c r="AV360" s="135" t="s">
        <v>211</v>
      </c>
      <c r="AW360" s="135" t="s">
        <v>211</v>
      </c>
      <c r="AX360" s="135" t="s">
        <v>211</v>
      </c>
      <c r="AY360" s="137" t="s">
        <v>211</v>
      </c>
      <c r="AZ360" s="135" t="s">
        <v>211</v>
      </c>
      <c r="BA360" s="135" t="s">
        <v>211</v>
      </c>
      <c r="BB360" s="135" t="s">
        <v>211</v>
      </c>
      <c r="BC360" s="135" t="s">
        <v>211</v>
      </c>
      <c r="BD360" s="135" t="s">
        <v>211</v>
      </c>
      <c r="BE360" s="135" t="s">
        <v>211</v>
      </c>
      <c r="BF360" s="135" t="s">
        <v>372</v>
      </c>
      <c r="BG360" s="135" t="s">
        <v>211</v>
      </c>
      <c r="BH360" s="135"/>
      <c r="BI360" s="135"/>
      <c r="BJ360" s="135" t="s">
        <v>372</v>
      </c>
      <c r="BK360" s="135">
        <f t="shared" si="74"/>
        <v>5</v>
      </c>
      <c r="BL360" s="241">
        <f t="shared" si="75"/>
        <v>0.3125</v>
      </c>
      <c r="BM360" s="3">
        <v>126277042</v>
      </c>
      <c r="BN360" s="255" t="s">
        <v>672</v>
      </c>
      <c r="BO360" s="61">
        <f>SUM(BO361:BO363)</f>
        <v>0</v>
      </c>
    </row>
    <row r="361" spans="2:69" ht="42.75" customHeight="1" outlineLevel="1" x14ac:dyDescent="0.2">
      <c r="B361" s="48"/>
      <c r="C361" s="381"/>
      <c r="D361" s="381"/>
      <c r="E361" s="381"/>
      <c r="F361" s="116" t="s">
        <v>87</v>
      </c>
      <c r="G361" s="200"/>
      <c r="H361" s="20" t="s">
        <v>25</v>
      </c>
      <c r="I361" s="65">
        <v>16</v>
      </c>
      <c r="J361" s="65"/>
      <c r="K361" s="65"/>
      <c r="L361" s="65"/>
      <c r="M361" s="65"/>
      <c r="N361" s="65"/>
      <c r="O361" s="65"/>
      <c r="P361" s="65"/>
      <c r="Q361" s="65"/>
      <c r="R361" s="65"/>
      <c r="S361" s="65"/>
      <c r="T361" s="65"/>
      <c r="U361" s="65"/>
      <c r="V361" s="65"/>
      <c r="W361" s="65"/>
      <c r="X361" s="65"/>
      <c r="Y361" s="65"/>
      <c r="Z361" s="65"/>
      <c r="AA361" s="65"/>
      <c r="AB361" s="65"/>
      <c r="AC361" s="65"/>
      <c r="AD361" s="65"/>
      <c r="AE361" s="65"/>
      <c r="AF361" s="65"/>
      <c r="AG361" s="65"/>
      <c r="AH361" s="65"/>
      <c r="AI361" s="65" t="s">
        <v>420</v>
      </c>
      <c r="AJ361" s="65"/>
      <c r="AK361" s="65"/>
      <c r="AL361" s="65"/>
      <c r="AM361" s="65"/>
      <c r="AN361" s="65"/>
      <c r="AO361" s="65"/>
      <c r="AP361" s="65"/>
      <c r="AQ361" s="65"/>
      <c r="AR361" s="65"/>
      <c r="AS361" s="65"/>
      <c r="AT361" s="65"/>
      <c r="AU361" s="238">
        <v>16</v>
      </c>
      <c r="AV361" s="133" t="s">
        <v>211</v>
      </c>
      <c r="AW361" s="133" t="s">
        <v>211</v>
      </c>
      <c r="AX361" s="135" t="s">
        <v>211</v>
      </c>
      <c r="AY361" s="138" t="s">
        <v>211</v>
      </c>
      <c r="AZ361" s="133" t="s">
        <v>211</v>
      </c>
      <c r="BA361" s="133" t="s">
        <v>211</v>
      </c>
      <c r="BB361" s="133" t="s">
        <v>211</v>
      </c>
      <c r="BC361" s="133" t="s">
        <v>211</v>
      </c>
      <c r="BD361" s="133" t="s">
        <v>211</v>
      </c>
      <c r="BE361" s="133" t="s">
        <v>211</v>
      </c>
      <c r="BF361" s="133" t="s">
        <v>372</v>
      </c>
      <c r="BG361" s="133" t="s">
        <v>211</v>
      </c>
      <c r="BH361" s="133"/>
      <c r="BI361" s="133"/>
      <c r="BJ361" s="133" t="s">
        <v>372</v>
      </c>
      <c r="BK361" s="133">
        <f t="shared" si="74"/>
        <v>5</v>
      </c>
      <c r="BL361" s="328">
        <f t="shared" si="75"/>
        <v>0.3125</v>
      </c>
      <c r="BM361" s="9"/>
      <c r="BN361" s="91"/>
    </row>
    <row r="362" spans="2:69" ht="41.25" customHeight="1" outlineLevel="1" x14ac:dyDescent="0.2">
      <c r="B362" s="30">
        <v>2</v>
      </c>
      <c r="C362" s="378" t="s">
        <v>88</v>
      </c>
      <c r="D362" s="379"/>
      <c r="E362" s="380"/>
      <c r="G362" s="200"/>
      <c r="H362" s="29" t="s">
        <v>25</v>
      </c>
      <c r="I362" s="10">
        <v>1</v>
      </c>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v>1</v>
      </c>
      <c r="AV362" s="135" t="s">
        <v>211</v>
      </c>
      <c r="AW362" s="135" t="s">
        <v>211</v>
      </c>
      <c r="AX362" s="135" t="s">
        <v>211</v>
      </c>
      <c r="AY362" s="137" t="s">
        <v>211</v>
      </c>
      <c r="AZ362" s="135" t="s">
        <v>211</v>
      </c>
      <c r="BA362" s="135" t="s">
        <v>211</v>
      </c>
      <c r="BB362" s="135" t="s">
        <v>211</v>
      </c>
      <c r="BC362" s="135" t="s">
        <v>211</v>
      </c>
      <c r="BD362" s="135" t="s">
        <v>211</v>
      </c>
      <c r="BE362" s="135" t="s">
        <v>211</v>
      </c>
      <c r="BF362" s="135" t="s">
        <v>362</v>
      </c>
      <c r="BG362" s="135" t="s">
        <v>211</v>
      </c>
      <c r="BH362" s="135"/>
      <c r="BI362" s="135"/>
      <c r="BJ362" s="135" t="s">
        <v>362</v>
      </c>
      <c r="BK362" s="135">
        <f t="shared" si="74"/>
        <v>1</v>
      </c>
      <c r="BL362" s="329">
        <f t="shared" si="75"/>
        <v>1</v>
      </c>
      <c r="BM362" s="3">
        <v>714000</v>
      </c>
      <c r="BN362" s="255" t="s">
        <v>593</v>
      </c>
      <c r="BO362" s="61">
        <f>SUM(BO363:BO363)</f>
        <v>0</v>
      </c>
    </row>
    <row r="363" spans="2:69" ht="34.5" customHeight="1" outlineLevel="1" x14ac:dyDescent="0.2">
      <c r="B363" s="37"/>
      <c r="C363" s="381"/>
      <c r="D363" s="381"/>
      <c r="E363" s="381"/>
      <c r="F363" s="116" t="s">
        <v>88</v>
      </c>
      <c r="G363" s="200"/>
      <c r="H363" s="20" t="s">
        <v>25</v>
      </c>
      <c r="I363" s="65">
        <v>1</v>
      </c>
      <c r="J363" s="65"/>
      <c r="K363" s="65"/>
      <c r="L363" s="65"/>
      <c r="M363" s="65"/>
      <c r="N363" s="65"/>
      <c r="O363" s="65"/>
      <c r="P363" s="65"/>
      <c r="Q363" s="65"/>
      <c r="R363" s="65"/>
      <c r="S363" s="65"/>
      <c r="T363" s="65"/>
      <c r="U363" s="65"/>
      <c r="V363" s="65"/>
      <c r="W363" s="65"/>
      <c r="X363" s="65"/>
      <c r="Y363" s="65"/>
      <c r="Z363" s="65"/>
      <c r="AA363" s="65"/>
      <c r="AB363" s="65"/>
      <c r="AC363" s="65"/>
      <c r="AD363" s="65"/>
      <c r="AE363" s="65"/>
      <c r="AF363" s="65"/>
      <c r="AG363" s="65"/>
      <c r="AH363" s="65"/>
      <c r="AI363" s="65"/>
      <c r="AJ363" s="65"/>
      <c r="AK363" s="65"/>
      <c r="AL363" s="65"/>
      <c r="AM363" s="65"/>
      <c r="AN363" s="65"/>
      <c r="AO363" s="65"/>
      <c r="AP363" s="65"/>
      <c r="AQ363" s="65"/>
      <c r="AR363" s="65"/>
      <c r="AS363" s="65"/>
      <c r="AT363" s="65"/>
      <c r="AU363" s="65">
        <v>1</v>
      </c>
      <c r="AV363" s="133" t="s">
        <v>211</v>
      </c>
      <c r="AW363" s="133" t="s">
        <v>211</v>
      </c>
      <c r="AX363" s="135" t="s">
        <v>211</v>
      </c>
      <c r="AY363" s="138" t="s">
        <v>211</v>
      </c>
      <c r="AZ363" s="133" t="s">
        <v>211</v>
      </c>
      <c r="BA363" s="133" t="s">
        <v>211</v>
      </c>
      <c r="BB363" s="133" t="s">
        <v>211</v>
      </c>
      <c r="BC363" s="133" t="s">
        <v>211</v>
      </c>
      <c r="BD363" s="133" t="s">
        <v>211</v>
      </c>
      <c r="BE363" s="133" t="s">
        <v>211</v>
      </c>
      <c r="BF363" s="133" t="s">
        <v>362</v>
      </c>
      <c r="BG363" s="133" t="s">
        <v>211</v>
      </c>
      <c r="BH363" s="133"/>
      <c r="BI363" s="133"/>
      <c r="BJ363" s="133" t="s">
        <v>362</v>
      </c>
      <c r="BK363" s="133">
        <f t="shared" si="74"/>
        <v>1</v>
      </c>
      <c r="BL363" s="368">
        <f t="shared" si="75"/>
        <v>1</v>
      </c>
      <c r="BM363" s="9"/>
      <c r="BN363" s="130"/>
    </row>
    <row r="364" spans="2:69" ht="33.75" customHeight="1" x14ac:dyDescent="0.2">
      <c r="B364" s="557" t="s">
        <v>179</v>
      </c>
      <c r="C364" s="558"/>
      <c r="D364" s="558"/>
      <c r="E364" s="558"/>
      <c r="F364" s="558"/>
      <c r="G364" s="558"/>
      <c r="H364" s="559"/>
      <c r="I364" s="106">
        <f>+I359+I331+I291+I234+I122+I33+I12</f>
        <v>432210</v>
      </c>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c r="AG364" s="106"/>
      <c r="AH364" s="106"/>
      <c r="AI364" s="106"/>
      <c r="AJ364" s="106"/>
      <c r="AK364" s="106"/>
      <c r="AL364" s="106"/>
      <c r="AM364" s="106"/>
      <c r="AN364" s="106"/>
      <c r="AO364" s="106"/>
      <c r="AP364" s="106"/>
      <c r="AQ364" s="106"/>
      <c r="AR364" s="106"/>
      <c r="AS364" s="106"/>
      <c r="AT364" s="106"/>
      <c r="AU364" s="106">
        <v>524051</v>
      </c>
      <c r="AV364" s="106">
        <f>+AV359+AV331+AV291+AV234+AV122+AV33+AV12</f>
        <v>32618</v>
      </c>
      <c r="AW364" s="106">
        <f>+AW359+AW331+AW291+AW234+AW122+AW33+AW12</f>
        <v>42160</v>
      </c>
      <c r="AX364" s="106">
        <f>+AX359+AX331+AX291+AX234+AX122+AX33+AX12</f>
        <v>45185</v>
      </c>
      <c r="AY364" s="106">
        <f>+AY359+AY331+AY291+AY234+AY122+AY33+AY12</f>
        <v>35919</v>
      </c>
      <c r="AZ364" s="106">
        <f>SUM(AV364:AY364)</f>
        <v>155882</v>
      </c>
      <c r="BA364" s="106">
        <f t="shared" ref="BA364:BJ364" si="76">+BA359+BA331+BA291+BA234+BA122+BA33+BA12</f>
        <v>45786</v>
      </c>
      <c r="BB364" s="106">
        <f t="shared" si="76"/>
        <v>42014</v>
      </c>
      <c r="BC364" s="106">
        <f t="shared" si="76"/>
        <v>44210</v>
      </c>
      <c r="BD364" s="106">
        <f t="shared" si="76"/>
        <v>49407</v>
      </c>
      <c r="BE364" s="106">
        <f t="shared" si="76"/>
        <v>181417</v>
      </c>
      <c r="BF364" s="106">
        <f t="shared" si="76"/>
        <v>39621</v>
      </c>
      <c r="BG364" s="106">
        <f t="shared" si="76"/>
        <v>58582</v>
      </c>
      <c r="BH364" s="106">
        <f t="shared" si="76"/>
        <v>0</v>
      </c>
      <c r="BI364" s="106">
        <f t="shared" si="76"/>
        <v>0</v>
      </c>
      <c r="BJ364" s="106">
        <f t="shared" si="76"/>
        <v>98203</v>
      </c>
      <c r="BK364" s="106">
        <f t="shared" si="74"/>
        <v>435502</v>
      </c>
      <c r="BL364" s="134">
        <f t="shared" si="75"/>
        <v>0.83102980435110319</v>
      </c>
      <c r="BM364" s="119">
        <f>SUM(BM359+BM331+BM291+BM234+BM122+BM33+BM12)</f>
        <v>577678000</v>
      </c>
      <c r="BN364" s="372">
        <v>0.69130000000000003</v>
      </c>
      <c r="BQ364" s="223"/>
    </row>
    <row r="365" spans="2:69" x14ac:dyDescent="0.2">
      <c r="I365" s="223"/>
      <c r="J365" s="223"/>
      <c r="K365" s="223"/>
      <c r="L365" s="223"/>
      <c r="M365" s="223"/>
      <c r="N365" s="223"/>
      <c r="O365" s="223"/>
      <c r="P365" s="223"/>
      <c r="Q365" s="223"/>
      <c r="R365" s="223"/>
      <c r="S365" s="223"/>
      <c r="T365" s="223"/>
      <c r="U365" s="223"/>
      <c r="V365" s="223"/>
      <c r="W365" s="223"/>
      <c r="X365" s="223"/>
      <c r="Y365" s="223"/>
      <c r="Z365" s="223"/>
      <c r="AA365" s="223"/>
      <c r="AB365" s="223"/>
      <c r="AC365" s="223"/>
      <c r="AD365" s="223"/>
      <c r="AE365" s="223"/>
      <c r="AF365" s="223"/>
      <c r="AG365" s="223"/>
      <c r="AH365" s="223"/>
      <c r="AI365" s="223"/>
      <c r="AJ365" s="223"/>
      <c r="AK365" s="223"/>
      <c r="AL365" s="223"/>
      <c r="AM365" s="223"/>
      <c r="AN365" s="223"/>
      <c r="AO365" s="223"/>
      <c r="AP365" s="223"/>
      <c r="AQ365" s="223"/>
      <c r="AR365" s="223"/>
      <c r="AS365" s="223"/>
      <c r="AT365" s="223"/>
      <c r="BC365" s="181"/>
      <c r="BM365" s="226"/>
    </row>
    <row r="366" spans="2:69" x14ac:dyDescent="0.2">
      <c r="BC366" s="181"/>
    </row>
    <row r="367" spans="2:69" x14ac:dyDescent="0.2">
      <c r="AY367" s="223"/>
      <c r="AZ367" s="223"/>
      <c r="BC367" s="181"/>
      <c r="BH367" s="223"/>
    </row>
    <row r="368" spans="2:69" x14ac:dyDescent="0.2">
      <c r="I368" s="223"/>
      <c r="J368" s="223"/>
      <c r="K368" s="223"/>
      <c r="L368" s="223"/>
      <c r="M368" s="223"/>
      <c r="N368" s="223"/>
      <c r="O368" s="223"/>
      <c r="P368" s="223"/>
      <c r="Q368" s="223"/>
      <c r="R368" s="223"/>
      <c r="S368" s="223"/>
      <c r="T368" s="223"/>
      <c r="U368" s="223"/>
      <c r="V368" s="223"/>
      <c r="W368" s="223"/>
      <c r="X368" s="223"/>
      <c r="Y368" s="223"/>
      <c r="Z368" s="223"/>
      <c r="AA368" s="223"/>
      <c r="AB368" s="223"/>
      <c r="AC368" s="223"/>
      <c r="AD368" s="223"/>
      <c r="AE368" s="223"/>
      <c r="AF368" s="223"/>
      <c r="AG368" s="223"/>
      <c r="AH368" s="223"/>
      <c r="AI368" s="223"/>
      <c r="AJ368" s="223"/>
      <c r="AK368" s="223"/>
      <c r="AL368" s="223"/>
      <c r="AM368" s="223"/>
      <c r="AN368" s="223"/>
      <c r="AO368" s="223"/>
      <c r="AP368" s="223"/>
      <c r="AQ368" s="223"/>
      <c r="AR368" s="223"/>
      <c r="AS368" s="223"/>
      <c r="AT368" s="223"/>
      <c r="AU368" s="223"/>
      <c r="AZ368" s="230"/>
      <c r="BA368" s="223"/>
      <c r="BC368" s="181"/>
    </row>
    <row r="369" spans="49:60" x14ac:dyDescent="0.2">
      <c r="AZ369" s="223"/>
      <c r="BA369" s="223"/>
      <c r="BC369" s="181"/>
      <c r="BE369" s="223"/>
      <c r="BG369" s="223"/>
      <c r="BH369" s="223"/>
    </row>
    <row r="370" spans="49:60" x14ac:dyDescent="0.2">
      <c r="AW370" s="223"/>
      <c r="BC370" s="181"/>
    </row>
    <row r="371" spans="49:60" x14ac:dyDescent="0.2">
      <c r="BA371" s="202" t="s">
        <v>228</v>
      </c>
      <c r="BC371" s="231"/>
    </row>
  </sheetData>
  <mergeCells count="410">
    <mergeCell ref="BM124:BN124"/>
    <mergeCell ref="I357:BN357"/>
    <mergeCell ref="C95:E95"/>
    <mergeCell ref="C111:E111"/>
    <mergeCell ref="C132:E132"/>
    <mergeCell ref="C293:E293"/>
    <mergeCell ref="C289:BN289"/>
    <mergeCell ref="C308:E308"/>
    <mergeCell ref="C299:E299"/>
    <mergeCell ref="C275:E275"/>
    <mergeCell ref="C307:E307"/>
    <mergeCell ref="B287:E287"/>
    <mergeCell ref="C301:E301"/>
    <mergeCell ref="C296:E296"/>
    <mergeCell ref="F305:BN305"/>
    <mergeCell ref="C297:E297"/>
    <mergeCell ref="B286:BM286"/>
    <mergeCell ref="F288:BN288"/>
    <mergeCell ref="C172:E172"/>
    <mergeCell ref="C179:E179"/>
    <mergeCell ref="C180:E180"/>
    <mergeCell ref="BM303:BN303"/>
    <mergeCell ref="BM333:BN336"/>
    <mergeCell ref="C303:E303"/>
    <mergeCell ref="F284:BN284"/>
    <mergeCell ref="C262:E262"/>
    <mergeCell ref="C263:E263"/>
    <mergeCell ref="C264:E264"/>
    <mergeCell ref="C127:E127"/>
    <mergeCell ref="C193:E193"/>
    <mergeCell ref="C182:E182"/>
    <mergeCell ref="C185:E185"/>
    <mergeCell ref="C186:E186"/>
    <mergeCell ref="C232:BN232"/>
    <mergeCell ref="B229:BM229"/>
    <mergeCell ref="B225:BN225"/>
    <mergeCell ref="C209:E209"/>
    <mergeCell ref="F196:BN196"/>
    <mergeCell ref="B197:E197"/>
    <mergeCell ref="C207:BN207"/>
    <mergeCell ref="B228:E228"/>
    <mergeCell ref="C211:E211"/>
    <mergeCell ref="B226:E226"/>
    <mergeCell ref="C214:E214"/>
    <mergeCell ref="C153:E153"/>
    <mergeCell ref="BM194:BN194"/>
    <mergeCell ref="C159:E159"/>
    <mergeCell ref="C154:E154"/>
    <mergeCell ref="C248:E248"/>
    <mergeCell ref="F259:BN259"/>
    <mergeCell ref="C224:E224"/>
    <mergeCell ref="C208:E208"/>
    <mergeCell ref="C246:E246"/>
    <mergeCell ref="D244:BN244"/>
    <mergeCell ref="C242:E242"/>
    <mergeCell ref="B239:BM239"/>
    <mergeCell ref="C245:E245"/>
    <mergeCell ref="B252:BM252"/>
    <mergeCell ref="B258:E258"/>
    <mergeCell ref="B257:BM257"/>
    <mergeCell ref="C236:E236"/>
    <mergeCell ref="C253:E253"/>
    <mergeCell ref="C238:E238"/>
    <mergeCell ref="C235:E235"/>
    <mergeCell ref="B231:E231"/>
    <mergeCell ref="BM203:BO203"/>
    <mergeCell ref="C168:BN168"/>
    <mergeCell ref="BM201:BO201"/>
    <mergeCell ref="BM202:BO202"/>
    <mergeCell ref="C256:E256"/>
    <mergeCell ref="B259:E259"/>
    <mergeCell ref="C261:E261"/>
    <mergeCell ref="F205:BN205"/>
    <mergeCell ref="C250:E250"/>
    <mergeCell ref="C255:E255"/>
    <mergeCell ref="C260:BN260"/>
    <mergeCell ref="C254:E254"/>
    <mergeCell ref="C249:E249"/>
    <mergeCell ref="BM256:BN256"/>
    <mergeCell ref="B174:BM174"/>
    <mergeCell ref="C212:E212"/>
    <mergeCell ref="F227:BN227"/>
    <mergeCell ref="F226:BN226"/>
    <mergeCell ref="F206:BN206"/>
    <mergeCell ref="C188:E188"/>
    <mergeCell ref="B196:E196"/>
    <mergeCell ref="F197:BN197"/>
    <mergeCell ref="F228:BN228"/>
    <mergeCell ref="C213:E213"/>
    <mergeCell ref="C199:E199"/>
    <mergeCell ref="BQ182:BR182"/>
    <mergeCell ref="BQ183:BR183"/>
    <mergeCell ref="F230:BN230"/>
    <mergeCell ref="F231:BN231"/>
    <mergeCell ref="C233:E233"/>
    <mergeCell ref="C177:BN177"/>
    <mergeCell ref="C190:E190"/>
    <mergeCell ref="B206:E206"/>
    <mergeCell ref="C191:E191"/>
    <mergeCell ref="BQ181:BR181"/>
    <mergeCell ref="C189:E189"/>
    <mergeCell ref="B227:E227"/>
    <mergeCell ref="B205:E205"/>
    <mergeCell ref="C187:E187"/>
    <mergeCell ref="C184:E184"/>
    <mergeCell ref="B195:BM195"/>
    <mergeCell ref="C202:E202"/>
    <mergeCell ref="C201:E201"/>
    <mergeCell ref="C200:E200"/>
    <mergeCell ref="C198:BN198"/>
    <mergeCell ref="C194:E194"/>
    <mergeCell ref="B230:E230"/>
    <mergeCell ref="C203:E203"/>
    <mergeCell ref="B204:BM204"/>
    <mergeCell ref="B364:H364"/>
    <mergeCell ref="F325:BN325"/>
    <mergeCell ref="C330:E330"/>
    <mergeCell ref="C341:E341"/>
    <mergeCell ref="C340:E340"/>
    <mergeCell ref="C347:E347"/>
    <mergeCell ref="C348:E348"/>
    <mergeCell ref="C363:E363"/>
    <mergeCell ref="C362:E362"/>
    <mergeCell ref="F351:BN351"/>
    <mergeCell ref="B352:E352"/>
    <mergeCell ref="C336:E336"/>
    <mergeCell ref="C337:E337"/>
    <mergeCell ref="C339:E339"/>
    <mergeCell ref="C333:E333"/>
    <mergeCell ref="C361:E361"/>
    <mergeCell ref="C335:E335"/>
    <mergeCell ref="C355:E355"/>
    <mergeCell ref="B331:H331"/>
    <mergeCell ref="B359:H359"/>
    <mergeCell ref="H329:BN329"/>
    <mergeCell ref="B326:E326"/>
    <mergeCell ref="F327:BN327"/>
    <mergeCell ref="F352:BN352"/>
    <mergeCell ref="C314:E314"/>
    <mergeCell ref="C313:E313"/>
    <mergeCell ref="F324:BN324"/>
    <mergeCell ref="C320:E320"/>
    <mergeCell ref="C318:E318"/>
    <mergeCell ref="C315:E315"/>
    <mergeCell ref="C322:E322"/>
    <mergeCell ref="C316:E316"/>
    <mergeCell ref="B323:BM323"/>
    <mergeCell ref="C321:E321"/>
    <mergeCell ref="C317:E317"/>
    <mergeCell ref="C349:E349"/>
    <mergeCell ref="B351:E351"/>
    <mergeCell ref="C338:E338"/>
    <mergeCell ref="B328:E328"/>
    <mergeCell ref="F328:BN328"/>
    <mergeCell ref="B324:E324"/>
    <mergeCell ref="C345:E345"/>
    <mergeCell ref="C346:E346"/>
    <mergeCell ref="B329:G329"/>
    <mergeCell ref="C332:E332"/>
    <mergeCell ref="F326:BN326"/>
    <mergeCell ref="BM344:BN344"/>
    <mergeCell ref="C103:BN103"/>
    <mergeCell ref="F113:BN113"/>
    <mergeCell ref="C82:E82"/>
    <mergeCell ref="C124:E124"/>
    <mergeCell ref="C108:E108"/>
    <mergeCell ref="C149:E149"/>
    <mergeCell ref="C151:E151"/>
    <mergeCell ref="C150:E150"/>
    <mergeCell ref="C109:E109"/>
    <mergeCell ref="F102:BN102"/>
    <mergeCell ref="B119:E119"/>
    <mergeCell ref="B146:E146"/>
    <mergeCell ref="C125:E125"/>
    <mergeCell ref="F118:BN118"/>
    <mergeCell ref="C130:E130"/>
    <mergeCell ref="C142:E142"/>
    <mergeCell ref="F145:BN145"/>
    <mergeCell ref="F146:BN146"/>
    <mergeCell ref="B145:E145"/>
    <mergeCell ref="C148:E148"/>
    <mergeCell ref="C147:BN147"/>
    <mergeCell ref="C126:E126"/>
    <mergeCell ref="C137:E137"/>
    <mergeCell ref="B117:E117"/>
    <mergeCell ref="B114:E114"/>
    <mergeCell ref="B115:E115"/>
    <mergeCell ref="F115:BN115"/>
    <mergeCell ref="C181:E181"/>
    <mergeCell ref="C178:E178"/>
    <mergeCell ref="F119:BN119"/>
    <mergeCell ref="C121:E121"/>
    <mergeCell ref="F117:BN117"/>
    <mergeCell ref="F114:BN114"/>
    <mergeCell ref="B166:E166"/>
    <mergeCell ref="C158:E158"/>
    <mergeCell ref="C156:E156"/>
    <mergeCell ref="B165:BM165"/>
    <mergeCell ref="C161:E161"/>
    <mergeCell ref="C152:E152"/>
    <mergeCell ref="F166:BN166"/>
    <mergeCell ref="C169:E169"/>
    <mergeCell ref="C173:E173"/>
    <mergeCell ref="C170:E170"/>
    <mergeCell ref="C162:E162"/>
    <mergeCell ref="C155:E155"/>
    <mergeCell ref="B167:E167"/>
    <mergeCell ref="F167:BM167"/>
    <mergeCell ref="F176:BN176"/>
    <mergeCell ref="C131:E131"/>
    <mergeCell ref="C183:E183"/>
    <mergeCell ref="C157:E157"/>
    <mergeCell ref="B144:BM144"/>
    <mergeCell ref="BM266:BN266"/>
    <mergeCell ref="BM268:BN268"/>
    <mergeCell ref="BM269:BN269"/>
    <mergeCell ref="C241:E241"/>
    <mergeCell ref="C251:E251"/>
    <mergeCell ref="F258:BN258"/>
    <mergeCell ref="C237:E237"/>
    <mergeCell ref="C247:E247"/>
    <mergeCell ref="B243:BM243"/>
    <mergeCell ref="B244:C244"/>
    <mergeCell ref="C240:E240"/>
    <mergeCell ref="BM254:BN254"/>
    <mergeCell ref="C268:E268"/>
    <mergeCell ref="C265:E265"/>
    <mergeCell ref="C267:E267"/>
    <mergeCell ref="BM241:BN241"/>
    <mergeCell ref="BM242:BN242"/>
    <mergeCell ref="BM264:BN264"/>
    <mergeCell ref="C266:E266"/>
    <mergeCell ref="BM265:BN265"/>
    <mergeCell ref="C105:E105"/>
    <mergeCell ref="C106:E106"/>
    <mergeCell ref="C77:E77"/>
    <mergeCell ref="C92:E92"/>
    <mergeCell ref="B101:E101"/>
    <mergeCell ref="C78:E78"/>
    <mergeCell ref="C86:E86"/>
    <mergeCell ref="B88:E88"/>
    <mergeCell ref="B305:E305"/>
    <mergeCell ref="C302:E302"/>
    <mergeCell ref="C292:E292"/>
    <mergeCell ref="B116:BM116"/>
    <mergeCell ref="C83:E83"/>
    <mergeCell ref="C84:E84"/>
    <mergeCell ref="C85:E85"/>
    <mergeCell ref="B122:H122"/>
    <mergeCell ref="C143:E143"/>
    <mergeCell ref="C98:E98"/>
    <mergeCell ref="C104:E104"/>
    <mergeCell ref="B234:H234"/>
    <mergeCell ref="C107:E107"/>
    <mergeCell ref="C160:E160"/>
    <mergeCell ref="C123:E123"/>
    <mergeCell ref="B118:E118"/>
    <mergeCell ref="C80:E80"/>
    <mergeCell ref="C73:E73"/>
    <mergeCell ref="B87:BM87"/>
    <mergeCell ref="F89:BN89"/>
    <mergeCell ref="F88:BN88"/>
    <mergeCell ref="C74:E74"/>
    <mergeCell ref="B89:E89"/>
    <mergeCell ref="C79:E79"/>
    <mergeCell ref="C96:E96"/>
    <mergeCell ref="C76:E76"/>
    <mergeCell ref="C90:BN90"/>
    <mergeCell ref="C91:E91"/>
    <mergeCell ref="B1:BN1"/>
    <mergeCell ref="C22:E22"/>
    <mergeCell ref="B4:D4"/>
    <mergeCell ref="B9:D9"/>
    <mergeCell ref="B28:BN28"/>
    <mergeCell ref="C21:E21"/>
    <mergeCell ref="B25:E25"/>
    <mergeCell ref="B27:E27"/>
    <mergeCell ref="B33:H33"/>
    <mergeCell ref="E5:BN5"/>
    <mergeCell ref="E6:BN6"/>
    <mergeCell ref="B6:D6"/>
    <mergeCell ref="F27:BN27"/>
    <mergeCell ref="E7:BN7"/>
    <mergeCell ref="E9:BN9"/>
    <mergeCell ref="B12:H12"/>
    <mergeCell ref="B7:D7"/>
    <mergeCell ref="C13:E13"/>
    <mergeCell ref="C14:E14"/>
    <mergeCell ref="F30:BN30"/>
    <mergeCell ref="B2:BN2"/>
    <mergeCell ref="B3:D3"/>
    <mergeCell ref="B8:BN8"/>
    <mergeCell ref="B5:D5"/>
    <mergeCell ref="C17:E17"/>
    <mergeCell ref="C71:E71"/>
    <mergeCell ref="C70:E70"/>
    <mergeCell ref="C75:E75"/>
    <mergeCell ref="C69:E69"/>
    <mergeCell ref="C64:BN64"/>
    <mergeCell ref="C52:E52"/>
    <mergeCell ref="C55:E55"/>
    <mergeCell ref="C67:E67"/>
    <mergeCell ref="C68:E68"/>
    <mergeCell ref="C65:E65"/>
    <mergeCell ref="B63:E63"/>
    <mergeCell ref="C53:E53"/>
    <mergeCell ref="C66:E66"/>
    <mergeCell ref="B61:BM61"/>
    <mergeCell ref="F62:BN62"/>
    <mergeCell ref="F63:BN63"/>
    <mergeCell ref="B62:E62"/>
    <mergeCell ref="C58:E58"/>
    <mergeCell ref="C60:E60"/>
    <mergeCell ref="C56:E56"/>
    <mergeCell ref="C57:E57"/>
    <mergeCell ref="B280:BN280"/>
    <mergeCell ref="B113:E113"/>
    <mergeCell ref="C99:E99"/>
    <mergeCell ref="C97:E97"/>
    <mergeCell ref="B100:BM100"/>
    <mergeCell ref="F101:BN101"/>
    <mergeCell ref="F49:BN49"/>
    <mergeCell ref="C16:E16"/>
    <mergeCell ref="C20:E20"/>
    <mergeCell ref="F48:BN48"/>
    <mergeCell ref="C46:E46"/>
    <mergeCell ref="B47:BM47"/>
    <mergeCell ref="C39:E39"/>
    <mergeCell ref="C44:E44"/>
    <mergeCell ref="C37:E37"/>
    <mergeCell ref="C31:BN31"/>
    <mergeCell ref="C32:E32"/>
    <mergeCell ref="F29:BN29"/>
    <mergeCell ref="C35:E35"/>
    <mergeCell ref="C36:E36"/>
    <mergeCell ref="C38:E38"/>
    <mergeCell ref="C43:E43"/>
    <mergeCell ref="B26:E26"/>
    <mergeCell ref="B24:BN24"/>
    <mergeCell ref="B270:BM270"/>
    <mergeCell ref="F271:BN271"/>
    <mergeCell ref="C10:BN10"/>
    <mergeCell ref="E3:BN3"/>
    <mergeCell ref="E4:BN4"/>
    <mergeCell ref="F26:BN26"/>
    <mergeCell ref="B102:E102"/>
    <mergeCell ref="C120:BN120"/>
    <mergeCell ref="C18:E18"/>
    <mergeCell ref="C19:E19"/>
    <mergeCell ref="F25:BN25"/>
    <mergeCell ref="C11:E11"/>
    <mergeCell ref="B48:E48"/>
    <mergeCell ref="C45:E45"/>
    <mergeCell ref="B29:E29"/>
    <mergeCell ref="B30:E30"/>
    <mergeCell ref="B49:E49"/>
    <mergeCell ref="C34:E34"/>
    <mergeCell ref="C41:E41"/>
    <mergeCell ref="C42:E42"/>
    <mergeCell ref="C15:E15"/>
    <mergeCell ref="C50:BN50"/>
    <mergeCell ref="C51:E51"/>
    <mergeCell ref="B271:E271"/>
    <mergeCell ref="B112:BN112"/>
    <mergeCell ref="C309:E309"/>
    <mergeCell ref="C310:E310"/>
    <mergeCell ref="C312:E312"/>
    <mergeCell ref="C93:E93"/>
    <mergeCell ref="C273:BN273"/>
    <mergeCell ref="C274:E274"/>
    <mergeCell ref="F285:BN285"/>
    <mergeCell ref="C279:E279"/>
    <mergeCell ref="B284:E284"/>
    <mergeCell ref="B285:E285"/>
    <mergeCell ref="C269:E269"/>
    <mergeCell ref="F283:BN283"/>
    <mergeCell ref="B282:E282"/>
    <mergeCell ref="F272:BN272"/>
    <mergeCell ref="B175:E175"/>
    <mergeCell ref="B176:E176"/>
    <mergeCell ref="F175:BN175"/>
    <mergeCell ref="B306:E306"/>
    <mergeCell ref="B304:BM304"/>
    <mergeCell ref="C311:E311"/>
    <mergeCell ref="BM293:BN296"/>
    <mergeCell ref="C298:E298"/>
    <mergeCell ref="B281:E281"/>
    <mergeCell ref="C360:E360"/>
    <mergeCell ref="C350:E350"/>
    <mergeCell ref="C358:E358"/>
    <mergeCell ref="B356:BM356"/>
    <mergeCell ref="C353:E353"/>
    <mergeCell ref="C354:E354"/>
    <mergeCell ref="B272:E272"/>
    <mergeCell ref="F282:BN282"/>
    <mergeCell ref="B283:E283"/>
    <mergeCell ref="F306:BN306"/>
    <mergeCell ref="C334:E334"/>
    <mergeCell ref="B325:E325"/>
    <mergeCell ref="F313:BN313"/>
    <mergeCell ref="F317:BN317"/>
    <mergeCell ref="B327:E327"/>
    <mergeCell ref="C277:E277"/>
    <mergeCell ref="C276:E276"/>
    <mergeCell ref="F281:BN281"/>
    <mergeCell ref="C278:E278"/>
    <mergeCell ref="B291:H291"/>
    <mergeCell ref="C290:E290"/>
    <mergeCell ref="F287:BN287"/>
    <mergeCell ref="B288:E288"/>
  </mergeCells>
  <printOptions horizontalCentered="1"/>
  <pageMargins left="0" right="0" top="0.39370078740157483" bottom="0.39370078740157483" header="0.39370078740157483" footer="0.39370078740157483"/>
  <pageSetup scale="55" orientation="landscape" r:id="rId1"/>
  <headerFooter>
    <oddFooter>&amp;C&amp;9PLAN OPERATIVO ANUAL, 2025
&amp;P</oddFooter>
  </headerFooter>
  <rowBreaks count="20" manualBreakCount="20">
    <brk id="23" max="16383" man="1"/>
    <brk id="43" min="1" max="53" man="1"/>
    <brk id="66" min="1" max="53" man="1"/>
    <brk id="92" min="1" max="53" man="1"/>
    <brk id="111" max="16383" man="1"/>
    <brk id="131" min="1" max="52" man="1"/>
    <brk id="143" min="1" max="38" man="1"/>
    <brk id="160" min="1" max="52" man="1"/>
    <brk id="173" min="1" max="52" man="1"/>
    <brk id="194" min="1" max="53" man="1"/>
    <brk id="210" min="1" max="52" man="1"/>
    <brk id="224" max="16383" man="1"/>
    <brk id="241" min="1" max="28" man="1"/>
    <brk id="256" min="1" max="28" man="1"/>
    <brk id="268" min="1" max="28" man="1"/>
    <brk id="279" max="16383" man="1"/>
    <brk id="299" min="1" max="53" man="1"/>
    <brk id="311" min="1" max="53" man="1"/>
    <brk id="322" max="16383" man="1"/>
    <brk id="344"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43"/>
  <sheetViews>
    <sheetView topLeftCell="A15" zoomScale="120" zoomScaleNormal="120" workbookViewId="0">
      <selection activeCell="E43" sqref="E43"/>
    </sheetView>
  </sheetViews>
  <sheetFormatPr baseColWidth="10" defaultRowHeight="15" x14ac:dyDescent="0.25"/>
  <cols>
    <col min="2" max="2" width="12.28515625" bestFit="1" customWidth="1"/>
    <col min="3" max="3" width="12.85546875" customWidth="1"/>
    <col min="5" max="6" width="12.28515625" bestFit="1" customWidth="1"/>
  </cols>
  <sheetData>
    <row r="3" spans="1:12" x14ac:dyDescent="0.25">
      <c r="A3" t="s">
        <v>489</v>
      </c>
      <c r="B3">
        <v>1908437.3</v>
      </c>
      <c r="C3">
        <v>879669.42</v>
      </c>
      <c r="D3">
        <v>300000</v>
      </c>
      <c r="E3">
        <f>SUM(C3:D3)</f>
        <v>1179669.42</v>
      </c>
      <c r="H3">
        <v>14830</v>
      </c>
      <c r="I3">
        <v>3000</v>
      </c>
      <c r="J3">
        <v>5130</v>
      </c>
      <c r="K3">
        <f>SUM(I3:J3)</f>
        <v>8130</v>
      </c>
    </row>
    <row r="4" spans="1:12" x14ac:dyDescent="0.25">
      <c r="C4">
        <v>50254.21</v>
      </c>
      <c r="D4">
        <v>352666.67</v>
      </c>
      <c r="E4">
        <f>SUM(C4:D4)</f>
        <v>402920.88</v>
      </c>
      <c r="I4">
        <v>2130</v>
      </c>
      <c r="K4">
        <f>SUM(I4:J4)</f>
        <v>2130</v>
      </c>
    </row>
    <row r="5" spans="1:12" x14ac:dyDescent="0.25">
      <c r="C5">
        <v>171689</v>
      </c>
      <c r="E5">
        <f>SUM(C5:D5)</f>
        <v>171689</v>
      </c>
    </row>
    <row r="6" spans="1:12" x14ac:dyDescent="0.25">
      <c r="C6">
        <v>139158</v>
      </c>
      <c r="E6">
        <f>SUM(C6:D6)</f>
        <v>139158</v>
      </c>
      <c r="I6">
        <f>SUM(I3:I5)</f>
        <v>5130</v>
      </c>
    </row>
    <row r="7" spans="1:12" x14ac:dyDescent="0.25">
      <c r="C7">
        <v>15000</v>
      </c>
      <c r="E7">
        <f>SUM(C7:D7)</f>
        <v>15000</v>
      </c>
    </row>
    <row r="8" spans="1:12" x14ac:dyDescent="0.25">
      <c r="B8">
        <v>0</v>
      </c>
      <c r="E8">
        <f>SUM(E3:E7)</f>
        <v>1908437.2999999998</v>
      </c>
    </row>
    <row r="9" spans="1:12" x14ac:dyDescent="0.25">
      <c r="C9">
        <f>SUM(C3:C8)</f>
        <v>1255770.6299999999</v>
      </c>
    </row>
    <row r="10" spans="1:12" x14ac:dyDescent="0.25">
      <c r="C10">
        <f>SUM(B3-C9)</f>
        <v>652666.67000000016</v>
      </c>
      <c r="H10" s="305">
        <v>2672366.4700000002</v>
      </c>
      <c r="I10" s="305">
        <v>1524900.41</v>
      </c>
      <c r="J10" s="305">
        <v>120451.61200000005</v>
      </c>
      <c r="K10" s="305">
        <f>SUM(I10:J10)</f>
        <v>1645352.0219999999</v>
      </c>
      <c r="L10" s="305"/>
    </row>
    <row r="11" spans="1:12" x14ac:dyDescent="0.25">
      <c r="H11" s="305"/>
      <c r="I11" s="305">
        <v>98933</v>
      </c>
      <c r="J11" s="305">
        <v>120451.61200000005</v>
      </c>
      <c r="K11" s="305">
        <f>SUM(I11:J11)</f>
        <v>219384.61200000005</v>
      </c>
      <c r="L11" s="305"/>
    </row>
    <row r="12" spans="1:12" x14ac:dyDescent="0.25">
      <c r="B12">
        <v>1515579.21</v>
      </c>
      <c r="C12" s="292">
        <v>398751.54</v>
      </c>
      <c r="D12" s="292">
        <v>960568.24</v>
      </c>
      <c r="E12" s="292">
        <f>SUM(C12:D12)</f>
        <v>1359319.78</v>
      </c>
      <c r="F12" s="292">
        <f>SUM(E12:E16)</f>
        <v>1515579.21</v>
      </c>
      <c r="H12" s="305"/>
      <c r="I12" s="305">
        <v>210815</v>
      </c>
      <c r="J12" s="305">
        <v>120451.61200000005</v>
      </c>
      <c r="K12" s="305">
        <f>SUM(I12:J12)</f>
        <v>331266.61200000008</v>
      </c>
      <c r="L12" s="305"/>
    </row>
    <row r="13" spans="1:12" x14ac:dyDescent="0.25">
      <c r="B13" s="292"/>
      <c r="C13" s="292">
        <v>51316.06</v>
      </c>
      <c r="D13">
        <v>0</v>
      </c>
      <c r="E13">
        <f>SUM(C13:D13)</f>
        <v>51316.06</v>
      </c>
      <c r="H13" s="305"/>
      <c r="I13" s="305">
        <v>235460</v>
      </c>
      <c r="J13" s="305">
        <v>120451.61200000005</v>
      </c>
      <c r="K13" s="305">
        <f>SUM(I13:J13)</f>
        <v>355911.61200000008</v>
      </c>
      <c r="L13" s="305"/>
    </row>
    <row r="14" spans="1:12" x14ac:dyDescent="0.25">
      <c r="B14" s="292"/>
      <c r="C14" s="292">
        <v>104943.37</v>
      </c>
      <c r="D14">
        <v>0</v>
      </c>
      <c r="E14">
        <f>SUM(C14:D14)</f>
        <v>104943.37</v>
      </c>
      <c r="H14" s="305"/>
      <c r="I14" s="305">
        <v>0</v>
      </c>
      <c r="J14" s="305">
        <v>120451.61200000005</v>
      </c>
      <c r="K14" s="305">
        <f>SUM(I14:J14)</f>
        <v>120451.61200000005</v>
      </c>
      <c r="L14" s="305"/>
    </row>
    <row r="15" spans="1:12" x14ac:dyDescent="0.25">
      <c r="C15" s="292">
        <v>0</v>
      </c>
      <c r="D15">
        <v>0</v>
      </c>
      <c r="E15">
        <f>SUM(C15:D15)</f>
        <v>0</v>
      </c>
      <c r="H15" s="305"/>
      <c r="I15" s="305">
        <f>SUM(I10:I14)</f>
        <v>2070108.41</v>
      </c>
      <c r="J15" s="305"/>
      <c r="K15" s="305"/>
      <c r="L15" s="305"/>
    </row>
    <row r="16" spans="1:12" x14ac:dyDescent="0.25">
      <c r="C16" s="292"/>
      <c r="E16" s="292"/>
      <c r="H16" s="305"/>
      <c r="I16" s="305">
        <f>SUM(H10-I15)</f>
        <v>602258.06000000029</v>
      </c>
      <c r="J16" s="305"/>
      <c r="K16" s="305">
        <f>SUM(K10:K15)</f>
        <v>2672366.4700000002</v>
      </c>
      <c r="L16" s="305"/>
    </row>
    <row r="17" spans="2:17" x14ac:dyDescent="0.25">
      <c r="C17" s="292">
        <f>SUM(C12:C16)</f>
        <v>555010.97</v>
      </c>
      <c r="D17" s="292">
        <f>SUM(B12-C17)</f>
        <v>960568.24</v>
      </c>
      <c r="H17" s="305"/>
      <c r="I17" s="305">
        <v>5</v>
      </c>
      <c r="J17" s="305"/>
      <c r="K17" s="305"/>
      <c r="L17" s="305"/>
    </row>
    <row r="18" spans="2:17" x14ac:dyDescent="0.25">
      <c r="D18">
        <v>4</v>
      </c>
      <c r="E18" s="292">
        <f>SUM(C17)</f>
        <v>555010.97</v>
      </c>
      <c r="H18" s="305"/>
      <c r="I18" s="305">
        <f>SUM(I16/I17)</f>
        <v>120451.61200000005</v>
      </c>
      <c r="J18" s="305"/>
      <c r="K18" s="305"/>
      <c r="L18" s="305"/>
    </row>
    <row r="19" spans="2:17" x14ac:dyDescent="0.25">
      <c r="D19">
        <f>SUM(D17/D18)</f>
        <v>240142.06</v>
      </c>
    </row>
    <row r="20" spans="2:17" x14ac:dyDescent="0.25">
      <c r="E20" s="292">
        <f>SUM(E12:E15)</f>
        <v>1515579.21</v>
      </c>
    </row>
    <row r="21" spans="2:17" x14ac:dyDescent="0.25">
      <c r="H21">
        <v>1139193.21</v>
      </c>
      <c r="I21">
        <v>145090.67000000001</v>
      </c>
      <c r="J21">
        <v>942620.64</v>
      </c>
      <c r="K21">
        <f>SUM(I21:J21)</f>
        <v>1087711.31</v>
      </c>
    </row>
    <row r="22" spans="2:17" x14ac:dyDescent="0.25">
      <c r="B22">
        <v>990974.13</v>
      </c>
      <c r="C22">
        <v>69118.03</v>
      </c>
      <c r="D22">
        <f>SUM(C27/3)</f>
        <v>226150.34666666668</v>
      </c>
      <c r="E22">
        <f>SUM(C22:D22)</f>
        <v>295268.37666666671</v>
      </c>
      <c r="I22">
        <v>158358.09</v>
      </c>
      <c r="K22">
        <f>SUM(I22:J22)</f>
        <v>158358.09</v>
      </c>
    </row>
    <row r="23" spans="2:17" x14ac:dyDescent="0.25">
      <c r="C23">
        <v>182563.86</v>
      </c>
      <c r="D23">
        <v>226150.34666666668</v>
      </c>
      <c r="E23">
        <f>SUM(C23:D23)</f>
        <v>408714.20666666667</v>
      </c>
    </row>
    <row r="24" spans="2:17" x14ac:dyDescent="0.25">
      <c r="C24">
        <v>60841.2</v>
      </c>
      <c r="D24">
        <v>226150.34666666668</v>
      </c>
      <c r="E24">
        <f>SUM(C24:D24)</f>
        <v>286991.54666666669</v>
      </c>
      <c r="I24">
        <f>SUM(I21:I23)</f>
        <v>303448.76</v>
      </c>
      <c r="K24">
        <f>SUM(K21:K23)</f>
        <v>1246069.4000000001</v>
      </c>
    </row>
    <row r="25" spans="2:17" x14ac:dyDescent="0.25">
      <c r="I25">
        <f>SUM(H21-I24)</f>
        <v>835744.45</v>
      </c>
    </row>
    <row r="26" spans="2:17" x14ac:dyDescent="0.25">
      <c r="C26">
        <f>SUM(C22:C25)</f>
        <v>312523.08999999997</v>
      </c>
      <c r="E26">
        <f>SUM(E22:E25)</f>
        <v>990974.13000000012</v>
      </c>
    </row>
    <row r="27" spans="2:17" x14ac:dyDescent="0.25">
      <c r="C27">
        <f>SUM(B22-C26)</f>
        <v>678451.04</v>
      </c>
    </row>
    <row r="28" spans="2:17" x14ac:dyDescent="0.25">
      <c r="C28">
        <v>3</v>
      </c>
      <c r="N28">
        <v>2239737.42</v>
      </c>
      <c r="O28">
        <v>55545</v>
      </c>
      <c r="P28">
        <f>SUM(O22-P26)</f>
        <v>0</v>
      </c>
      <c r="Q28">
        <f>SUM(O28:P28)</f>
        <v>55545</v>
      </c>
    </row>
    <row r="29" spans="2:17" x14ac:dyDescent="0.25">
      <c r="B29">
        <v>983572.66</v>
      </c>
      <c r="C29">
        <v>0</v>
      </c>
      <c r="O29">
        <v>9192.42</v>
      </c>
      <c r="Q29">
        <f>SUM(O29:P29)</f>
        <v>9192.42</v>
      </c>
    </row>
    <row r="30" spans="2:17" x14ac:dyDescent="0.25">
      <c r="C30">
        <v>0</v>
      </c>
      <c r="H30">
        <v>746735.1</v>
      </c>
      <c r="I30">
        <v>0</v>
      </c>
      <c r="K30">
        <v>0</v>
      </c>
      <c r="Q30">
        <f>SUM(O30:P30)</f>
        <v>0</v>
      </c>
    </row>
    <row r="31" spans="2:17" x14ac:dyDescent="0.25">
      <c r="C31">
        <v>166247.01</v>
      </c>
      <c r="D31">
        <v>633718.26</v>
      </c>
      <c r="E31">
        <f>SUM(C31:D31)</f>
        <v>799965.27</v>
      </c>
      <c r="I31">
        <v>799.5</v>
      </c>
      <c r="K31">
        <v>799.5</v>
      </c>
    </row>
    <row r="32" spans="2:17" x14ac:dyDescent="0.25">
      <c r="C32">
        <v>183607.39</v>
      </c>
      <c r="E32">
        <v>183607.39</v>
      </c>
      <c r="H32">
        <f>SUM(H30-H31)</f>
        <v>746735.1</v>
      </c>
      <c r="I32">
        <v>286442.44</v>
      </c>
      <c r="J32">
        <f>SUM(H30-I34)</f>
        <v>452758.06999999995</v>
      </c>
      <c r="K32">
        <f>SUM(I32:J32)</f>
        <v>739200.51</v>
      </c>
      <c r="O32">
        <f>SUM(O28:O30)</f>
        <v>64737.42</v>
      </c>
    </row>
    <row r="33" spans="2:17" x14ac:dyDescent="0.25">
      <c r="I33">
        <v>6735.09</v>
      </c>
      <c r="K33">
        <v>6735.09</v>
      </c>
    </row>
    <row r="34" spans="2:17" x14ac:dyDescent="0.25">
      <c r="C34">
        <f>SUM(C29:C32)</f>
        <v>349854.4</v>
      </c>
      <c r="E34">
        <f>SUM(E31:E32)</f>
        <v>983572.66</v>
      </c>
      <c r="I34">
        <f>SUM(I30:I33)</f>
        <v>293977.03000000003</v>
      </c>
      <c r="O34">
        <f>SUM(N28-O32)</f>
        <v>2175000</v>
      </c>
      <c r="Q34">
        <f>SUM(Q28:Q33)</f>
        <v>64737.42</v>
      </c>
    </row>
    <row r="35" spans="2:17" x14ac:dyDescent="0.25">
      <c r="C35">
        <f>SUM(B29-C34)</f>
        <v>633718.26</v>
      </c>
      <c r="K35">
        <f>SUM(K30:K33)</f>
        <v>746735.1</v>
      </c>
    </row>
    <row r="37" spans="2:17" x14ac:dyDescent="0.25">
      <c r="B37">
        <v>512757.32</v>
      </c>
      <c r="C37">
        <v>78187.16</v>
      </c>
    </row>
    <row r="39" spans="2:17" x14ac:dyDescent="0.25">
      <c r="B39">
        <v>695859.13</v>
      </c>
      <c r="C39">
        <v>234032.91</v>
      </c>
      <c r="D39">
        <f>SUM(C42/2)</f>
        <v>98186.039999999979</v>
      </c>
      <c r="E39">
        <f>SUM(C39:D39)</f>
        <v>332218.94999999995</v>
      </c>
    </row>
    <row r="40" spans="2:17" x14ac:dyDescent="0.25">
      <c r="C40">
        <v>265454.14</v>
      </c>
      <c r="D40">
        <v>98186.039999999979</v>
      </c>
      <c r="E40">
        <f>SUM(C40:D40)</f>
        <v>363640.18</v>
      </c>
    </row>
    <row r="41" spans="2:17" x14ac:dyDescent="0.25">
      <c r="C41">
        <f>SUM(C39:C40)</f>
        <v>499487.05000000005</v>
      </c>
    </row>
    <row r="42" spans="2:17" x14ac:dyDescent="0.25">
      <c r="C42">
        <f>SUM(B39-C41)</f>
        <v>196372.07999999996</v>
      </c>
      <c r="E42">
        <f>SUM(E39:E41)</f>
        <v>695859.12999999989</v>
      </c>
    </row>
    <row r="43" spans="2:17" x14ac:dyDescent="0.25">
      <c r="C43">
        <v>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EJECUCION</vt:lpstr>
      <vt:lpstr>Hoja1</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Silvia García</cp:lastModifiedBy>
  <cp:lastPrinted>2025-11-10T21:46:20Z</cp:lastPrinted>
  <dcterms:created xsi:type="dcterms:W3CDTF">2019-01-08T14:24:40Z</dcterms:created>
  <dcterms:modified xsi:type="dcterms:W3CDTF">2026-05-26T16:05:35Z</dcterms:modified>
</cp:coreProperties>
</file>